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ji Dokumenti\Desktop\Izvještaj o izvršenju financijskog plana za 2023\Za poslati\"/>
    </mc:Choice>
  </mc:AlternateContent>
  <bookViews>
    <workbookView xWindow="0" yWindow="0" windowWidth="28800" windowHeight="12300"/>
  </bookViews>
  <sheets>
    <sheet name="SAŽETAK " sheetId="17" r:id="rId1"/>
    <sheet name="Račun prihoda i rashoda - škola" sheetId="16" r:id="rId2"/>
    <sheet name="Račun prihoda i rashoda - dom" sheetId="15" r:id="rId3"/>
    <sheet name="Rashodi prema izvorima fin.-šk" sheetId="5" r:id="rId4"/>
    <sheet name="Rashodi prema izvorima fin.-dom" sheetId="13" r:id="rId5"/>
    <sheet name="Rashodi prema funkcijskoj k " sheetId="8" r:id="rId6"/>
    <sheet name="Račun financiranja" sheetId="6" r:id="rId7"/>
    <sheet name="Račun fin prema izvorima f" sheetId="10" r:id="rId8"/>
    <sheet name="POSEBNI DIO-škola" sheetId="7" r:id="rId9"/>
    <sheet name="POSEBNI DIO-dom" sheetId="1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7" l="1"/>
  <c r="K24" i="17"/>
  <c r="J24" i="17"/>
  <c r="I15" i="17"/>
  <c r="J14" i="17"/>
  <c r="H14" i="17"/>
  <c r="K14" i="17" s="1"/>
  <c r="G14" i="17"/>
  <c r="J13" i="17"/>
  <c r="H13" i="17"/>
  <c r="K13" i="17" s="1"/>
  <c r="G13" i="17"/>
  <c r="G15" i="17" s="1"/>
  <c r="I12" i="17"/>
  <c r="I16" i="17" s="1"/>
  <c r="K11" i="17"/>
  <c r="J11" i="17"/>
  <c r="H10" i="17"/>
  <c r="H12" i="17" s="1"/>
  <c r="G10" i="17"/>
  <c r="G12" i="17" s="1"/>
  <c r="G16" i="17" s="1"/>
  <c r="J16" i="17" l="1"/>
  <c r="H15" i="17"/>
  <c r="H16" i="17" s="1"/>
  <c r="K16" i="17" s="1"/>
  <c r="J12" i="17"/>
  <c r="J10" i="17"/>
  <c r="K12" i="17"/>
  <c r="J15" i="17"/>
  <c r="K10" i="17"/>
  <c r="G10" i="7"/>
  <c r="G9" i="7" s="1"/>
  <c r="G168" i="7"/>
  <c r="G165" i="7" s="1"/>
  <c r="F10" i="7"/>
  <c r="E31" i="5"/>
  <c r="G171" i="7"/>
  <c r="G15" i="7"/>
  <c r="G153" i="7"/>
  <c r="G154" i="7"/>
  <c r="G194" i="7"/>
  <c r="G191" i="7" s="1"/>
  <c r="G190" i="7" s="1"/>
  <c r="G193" i="7"/>
  <c r="F191" i="7"/>
  <c r="F190" i="7"/>
  <c r="G175" i="7"/>
  <c r="G134" i="7"/>
  <c r="G72" i="7"/>
  <c r="G130" i="7"/>
  <c r="F186" i="7"/>
  <c r="G186" i="7"/>
  <c r="H185" i="7"/>
  <c r="K15" i="17" l="1"/>
  <c r="H186" i="7"/>
  <c r="E20" i="5"/>
  <c r="H189" i="7" l="1"/>
  <c r="H188" i="7"/>
  <c r="H187" i="7"/>
  <c r="E47" i="5"/>
  <c r="G133" i="7"/>
  <c r="G132" i="7"/>
  <c r="G131" i="7"/>
  <c r="G127" i="7"/>
  <c r="G125" i="7"/>
  <c r="F134" i="7"/>
  <c r="F133" i="7"/>
  <c r="F132" i="7"/>
  <c r="F131" i="7"/>
  <c r="F127" i="7"/>
  <c r="F125" i="7"/>
  <c r="G140" i="7"/>
  <c r="G139" i="7" s="1"/>
  <c r="G124" i="7" l="1"/>
  <c r="F140" i="7"/>
  <c r="F139" i="7" s="1"/>
  <c r="H147" i="7"/>
  <c r="H146" i="7"/>
  <c r="H145" i="7"/>
  <c r="H144" i="7"/>
  <c r="H143" i="7"/>
  <c r="H142" i="7"/>
  <c r="H141" i="7"/>
  <c r="H140" i="7" l="1"/>
  <c r="H139" i="7"/>
  <c r="G10" i="8"/>
  <c r="G11" i="8"/>
  <c r="F10" i="8"/>
  <c r="F11" i="8"/>
  <c r="E9" i="8"/>
  <c r="G9" i="8" s="1"/>
  <c r="D8" i="8"/>
  <c r="D9" i="8"/>
  <c r="H11" i="7"/>
  <c r="H12" i="7"/>
  <c r="H14" i="7"/>
  <c r="H20" i="7"/>
  <c r="H21" i="7"/>
  <c r="H22" i="7"/>
  <c r="H24" i="7"/>
  <c r="H26" i="7"/>
  <c r="H27" i="7"/>
  <c r="H28" i="7"/>
  <c r="H29" i="7"/>
  <c r="H31" i="7"/>
  <c r="H36" i="7"/>
  <c r="H37" i="7"/>
  <c r="H40" i="7"/>
  <c r="H41" i="7"/>
  <c r="H42" i="7"/>
  <c r="H44" i="7"/>
  <c r="H45" i="7"/>
  <c r="H47" i="7"/>
  <c r="H49" i="7"/>
  <c r="H50" i="7"/>
  <c r="H51" i="7"/>
  <c r="H53" i="7"/>
  <c r="H54" i="7"/>
  <c r="H56" i="7"/>
  <c r="H57" i="7"/>
  <c r="H58" i="7"/>
  <c r="H59" i="7"/>
  <c r="H60" i="7"/>
  <c r="H61" i="7"/>
  <c r="H62" i="7"/>
  <c r="H64" i="7"/>
  <c r="H66" i="7"/>
  <c r="H68" i="7"/>
  <c r="H70" i="7"/>
  <c r="H77" i="7"/>
  <c r="H78" i="7"/>
  <c r="H81" i="7"/>
  <c r="H82" i="7"/>
  <c r="H83" i="7"/>
  <c r="H86" i="7"/>
  <c r="H87" i="7"/>
  <c r="H88" i="7"/>
  <c r="H89" i="7"/>
  <c r="H91" i="7"/>
  <c r="H93" i="7"/>
  <c r="H94" i="7"/>
  <c r="H95" i="7"/>
  <c r="H96" i="7"/>
  <c r="H97" i="7"/>
  <c r="H99" i="7"/>
  <c r="H101" i="7"/>
  <c r="H103" i="7"/>
  <c r="H106" i="7"/>
  <c r="H109" i="7"/>
  <c r="H112" i="7"/>
  <c r="H113" i="7"/>
  <c r="H114" i="7"/>
  <c r="H116" i="7"/>
  <c r="H117" i="7"/>
  <c r="H118" i="7"/>
  <c r="H122" i="7"/>
  <c r="H123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8" i="7"/>
  <c r="H150" i="7"/>
  <c r="H151" i="7"/>
  <c r="H157" i="7"/>
  <c r="H159" i="7"/>
  <c r="H163" i="7"/>
  <c r="H167" i="7"/>
  <c r="H174" i="7"/>
  <c r="H176" i="7"/>
  <c r="H179" i="7"/>
  <c r="G170" i="7"/>
  <c r="G172" i="7"/>
  <c r="G173" i="7"/>
  <c r="G177" i="7"/>
  <c r="H177" i="7" s="1"/>
  <c r="G178" i="7"/>
  <c r="H178" i="7" s="1"/>
  <c r="G181" i="7"/>
  <c r="H181" i="7" s="1"/>
  <c r="G166" i="7"/>
  <c r="G184" i="7"/>
  <c r="G162" i="7"/>
  <c r="G161" i="7" s="1"/>
  <c r="G158" i="7"/>
  <c r="G156" i="7"/>
  <c r="G149" i="7"/>
  <c r="G121" i="7"/>
  <c r="G115" i="7"/>
  <c r="F115" i="7"/>
  <c r="G111" i="7"/>
  <c r="G108" i="7"/>
  <c r="G107" i="7" s="1"/>
  <c r="F108" i="7"/>
  <c r="F107" i="7" s="1"/>
  <c r="G104" i="7"/>
  <c r="G98" i="7"/>
  <c r="G90" i="7" s="1"/>
  <c r="G85" i="7"/>
  <c r="G80" i="7"/>
  <c r="F80" i="7"/>
  <c r="F79" i="7" s="1"/>
  <c r="G76" i="7"/>
  <c r="G71" i="7" s="1"/>
  <c r="F72" i="7"/>
  <c r="G67" i="7"/>
  <c r="G39" i="7"/>
  <c r="F39" i="7"/>
  <c r="G55" i="7"/>
  <c r="G52" i="7"/>
  <c r="G48" i="7"/>
  <c r="G46" i="7"/>
  <c r="F46" i="7"/>
  <c r="G19" i="7"/>
  <c r="G183" i="7" l="1"/>
  <c r="G182" i="7" s="1"/>
  <c r="E8" i="8"/>
  <c r="G8" i="8" s="1"/>
  <c r="H115" i="7"/>
  <c r="G110" i="7"/>
  <c r="H98" i="7"/>
  <c r="H39" i="7"/>
  <c r="H80" i="7"/>
  <c r="H107" i="7"/>
  <c r="G160" i="7"/>
  <c r="G148" i="7"/>
  <c r="G152" i="7"/>
  <c r="G43" i="7"/>
  <c r="H108" i="7"/>
  <c r="H46" i="7"/>
  <c r="G79" i="7"/>
  <c r="E8" i="13"/>
  <c r="E15" i="13"/>
  <c r="D15" i="13"/>
  <c r="C15" i="13"/>
  <c r="I11" i="15"/>
  <c r="I12" i="15"/>
  <c r="I13" i="15"/>
  <c r="H12" i="15"/>
  <c r="G12" i="15"/>
  <c r="H79" i="7" l="1"/>
  <c r="H15" i="7"/>
  <c r="G55" i="14"/>
  <c r="G54" i="14"/>
  <c r="G50" i="14"/>
  <c r="G49" i="14"/>
  <c r="G48" i="14"/>
  <c r="G47" i="14"/>
  <c r="G46" i="14"/>
  <c r="G44" i="14"/>
  <c r="G43" i="14"/>
  <c r="G39" i="14"/>
  <c r="G38" i="14"/>
  <c r="G37" i="14"/>
  <c r="G34" i="14" s="1"/>
  <c r="G61" i="14"/>
  <c r="F44" i="14"/>
  <c r="F39" i="14"/>
  <c r="F37" i="14"/>
  <c r="F61" i="14"/>
  <c r="F60" i="14" s="1"/>
  <c r="F38" i="14"/>
  <c r="F46" i="14"/>
  <c r="F54" i="14"/>
  <c r="H72" i="14"/>
  <c r="F47" i="14"/>
  <c r="H68" i="14"/>
  <c r="F49" i="14"/>
  <c r="F50" i="14"/>
  <c r="F48" i="14"/>
  <c r="H71" i="14"/>
  <c r="H70" i="14"/>
  <c r="H69" i="14"/>
  <c r="H67" i="14"/>
  <c r="F43" i="14"/>
  <c r="H65" i="14"/>
  <c r="H66" i="14"/>
  <c r="H64" i="14"/>
  <c r="H63" i="14"/>
  <c r="H62" i="14"/>
  <c r="F55" i="14"/>
  <c r="F34" i="14" l="1"/>
  <c r="H61" i="14"/>
  <c r="G60" i="14"/>
  <c r="H55" i="14" s="1"/>
  <c r="G29" i="14"/>
  <c r="F29" i="14"/>
  <c r="E24" i="5"/>
  <c r="E14" i="5"/>
  <c r="D44" i="5"/>
  <c r="D19" i="5"/>
  <c r="D21" i="5"/>
  <c r="G10" i="13"/>
  <c r="G12" i="13"/>
  <c r="G14" i="13"/>
  <c r="G18" i="13"/>
  <c r="G23" i="13"/>
  <c r="G25" i="13"/>
  <c r="G29" i="13"/>
  <c r="F10" i="13"/>
  <c r="F12" i="13"/>
  <c r="F14" i="13"/>
  <c r="F18" i="13"/>
  <c r="F23" i="13"/>
  <c r="F25" i="13"/>
  <c r="F27" i="13"/>
  <c r="F29" i="13"/>
  <c r="H60" i="14" l="1"/>
  <c r="K119" i="16"/>
  <c r="I118" i="16"/>
  <c r="K118" i="16" s="1"/>
  <c r="H118" i="16"/>
  <c r="G118" i="16"/>
  <c r="K117" i="16"/>
  <c r="J117" i="16"/>
  <c r="I116" i="16"/>
  <c r="H116" i="16"/>
  <c r="G116" i="16"/>
  <c r="K115" i="16"/>
  <c r="J115" i="16"/>
  <c r="J114" i="16"/>
  <c r="I113" i="16"/>
  <c r="J113" i="16" s="1"/>
  <c r="H113" i="16"/>
  <c r="G113" i="16"/>
  <c r="K112" i="16"/>
  <c r="J112" i="16"/>
  <c r="H112" i="16"/>
  <c r="I111" i="16"/>
  <c r="J111" i="16" s="1"/>
  <c r="H111" i="16"/>
  <c r="G111" i="16"/>
  <c r="G110" i="16" s="1"/>
  <c r="I110" i="16"/>
  <c r="K110" i="16" s="1"/>
  <c r="H110" i="16"/>
  <c r="K109" i="16"/>
  <c r="J109" i="16"/>
  <c r="K108" i="16"/>
  <c r="I108" i="16"/>
  <c r="H108" i="16"/>
  <c r="G108" i="16"/>
  <c r="G107" i="16" s="1"/>
  <c r="G106" i="16" s="1"/>
  <c r="I107" i="16"/>
  <c r="K107" i="16" s="1"/>
  <c r="H107" i="16"/>
  <c r="H106" i="16" s="1"/>
  <c r="H105" i="16"/>
  <c r="K105" i="16" s="1"/>
  <c r="I104" i="16"/>
  <c r="J102" i="16"/>
  <c r="H102" i="16"/>
  <c r="K102" i="16" s="1"/>
  <c r="J101" i="16"/>
  <c r="J100" i="16"/>
  <c r="H100" i="16"/>
  <c r="K100" i="16" s="1"/>
  <c r="I99" i="16"/>
  <c r="I98" i="16" s="1"/>
  <c r="K98" i="16" s="1"/>
  <c r="H99" i="16"/>
  <c r="G99" i="16"/>
  <c r="J97" i="16"/>
  <c r="H97" i="16"/>
  <c r="K97" i="16" s="1"/>
  <c r="J96" i="16"/>
  <c r="H96" i="16"/>
  <c r="K96" i="16" s="1"/>
  <c r="J95" i="16"/>
  <c r="H95" i="16"/>
  <c r="K95" i="16" s="1"/>
  <c r="J94" i="16"/>
  <c r="H94" i="16"/>
  <c r="K94" i="16" s="1"/>
  <c r="J93" i="16"/>
  <c r="H93" i="16"/>
  <c r="K93" i="16" s="1"/>
  <c r="J92" i="16"/>
  <c r="H92" i="16"/>
  <c r="K92" i="16" s="1"/>
  <c r="I91" i="16"/>
  <c r="J91" i="16" s="1"/>
  <c r="G91" i="16"/>
  <c r="J90" i="16"/>
  <c r="H90" i="16"/>
  <c r="K90" i="16" s="1"/>
  <c r="I89" i="16"/>
  <c r="H89" i="16"/>
  <c r="G89" i="16"/>
  <c r="J88" i="16"/>
  <c r="H88" i="16"/>
  <c r="K88" i="16" s="1"/>
  <c r="J87" i="16"/>
  <c r="H87" i="16"/>
  <c r="K87" i="16" s="1"/>
  <c r="J86" i="16"/>
  <c r="H86" i="16"/>
  <c r="K86" i="16" s="1"/>
  <c r="J85" i="16"/>
  <c r="J84" i="16"/>
  <c r="H84" i="16"/>
  <c r="K84" i="16" s="1"/>
  <c r="J83" i="16"/>
  <c r="H83" i="16"/>
  <c r="K83" i="16" s="1"/>
  <c r="J82" i="16"/>
  <c r="H82" i="16"/>
  <c r="K82" i="16" s="1"/>
  <c r="J81" i="16"/>
  <c r="H81" i="16"/>
  <c r="K81" i="16" s="1"/>
  <c r="J80" i="16"/>
  <c r="H80" i="16"/>
  <c r="K80" i="16" s="1"/>
  <c r="I79" i="16"/>
  <c r="G79" i="16"/>
  <c r="J78" i="16"/>
  <c r="H78" i="16"/>
  <c r="K78" i="16" s="1"/>
  <c r="J77" i="16"/>
  <c r="H77" i="16"/>
  <c r="K77" i="16" s="1"/>
  <c r="J76" i="16"/>
  <c r="H76" i="16"/>
  <c r="K76" i="16" s="1"/>
  <c r="J75" i="16"/>
  <c r="H75" i="16"/>
  <c r="K75" i="16" s="1"/>
  <c r="J74" i="16"/>
  <c r="H74" i="16"/>
  <c r="K74" i="16" s="1"/>
  <c r="J73" i="16"/>
  <c r="H73" i="16"/>
  <c r="K73" i="16" s="1"/>
  <c r="I72" i="16"/>
  <c r="J72" i="16" s="1"/>
  <c r="G72" i="16"/>
  <c r="J70" i="16"/>
  <c r="H70" i="16"/>
  <c r="K70" i="16" s="1"/>
  <c r="K69" i="16"/>
  <c r="H69" i="16"/>
  <c r="G69" i="16"/>
  <c r="J69" i="16" s="1"/>
  <c r="K68" i="16"/>
  <c r="J68" i="16"/>
  <c r="H68" i="16"/>
  <c r="H67" i="16" s="1"/>
  <c r="G68" i="16"/>
  <c r="I67" i="16"/>
  <c r="G67" i="16"/>
  <c r="G66" i="16" s="1"/>
  <c r="G65" i="16"/>
  <c r="J65" i="16" s="1"/>
  <c r="H64" i="16"/>
  <c r="K64" i="16" s="1"/>
  <c r="G64" i="16"/>
  <c r="G63" i="16" s="1"/>
  <c r="J63" i="16" s="1"/>
  <c r="I63" i="16"/>
  <c r="K62" i="16"/>
  <c r="J62" i="16"/>
  <c r="H62" i="16"/>
  <c r="H61" i="16" s="1"/>
  <c r="G62" i="16"/>
  <c r="I61" i="16"/>
  <c r="G61" i="16"/>
  <c r="K60" i="16"/>
  <c r="G60" i="16"/>
  <c r="J60" i="16" s="1"/>
  <c r="K59" i="16"/>
  <c r="H59" i="16"/>
  <c r="G59" i="16"/>
  <c r="J59" i="16" s="1"/>
  <c r="K58" i="16"/>
  <c r="J58" i="16"/>
  <c r="I57" i="16"/>
  <c r="H57" i="16"/>
  <c r="G57" i="16"/>
  <c r="H55" i="16"/>
  <c r="H54" i="16" s="1"/>
  <c r="K48" i="16"/>
  <c r="J48" i="16"/>
  <c r="K47" i="16"/>
  <c r="I47" i="16"/>
  <c r="H47" i="16"/>
  <c r="G47" i="16"/>
  <c r="G46" i="16" s="1"/>
  <c r="G45" i="16" s="1"/>
  <c r="H46" i="16"/>
  <c r="H45" i="16" s="1"/>
  <c r="K44" i="16"/>
  <c r="J44" i="16"/>
  <c r="I43" i="16"/>
  <c r="K43" i="16" s="1"/>
  <c r="G43" i="16"/>
  <c r="J43" i="16" s="1"/>
  <c r="H41" i="16"/>
  <c r="H49" i="16" s="1"/>
  <c r="J40" i="16"/>
  <c r="I39" i="16"/>
  <c r="G39" i="16"/>
  <c r="G38" i="16"/>
  <c r="J37" i="16"/>
  <c r="H37" i="16"/>
  <c r="K37" i="16" s="1"/>
  <c r="I36" i="16"/>
  <c r="J36" i="16" s="1"/>
  <c r="G36" i="16"/>
  <c r="G35" i="16"/>
  <c r="K34" i="16"/>
  <c r="G34" i="16"/>
  <c r="J34" i="16" s="1"/>
  <c r="K33" i="16"/>
  <c r="K32" i="16"/>
  <c r="G32" i="16"/>
  <c r="K31" i="16"/>
  <c r="G31" i="16"/>
  <c r="J31" i="16" s="1"/>
  <c r="I30" i="16"/>
  <c r="H30" i="16"/>
  <c r="K28" i="16"/>
  <c r="J28" i="16"/>
  <c r="G28" i="16"/>
  <c r="I27" i="16"/>
  <c r="J27" i="16" s="1"/>
  <c r="H27" i="16"/>
  <c r="G27" i="16"/>
  <c r="G26" i="16" s="1"/>
  <c r="K25" i="16"/>
  <c r="J25" i="16"/>
  <c r="I24" i="16"/>
  <c r="H24" i="16"/>
  <c r="G24" i="16"/>
  <c r="J23" i="16"/>
  <c r="J22" i="16"/>
  <c r="I21" i="16"/>
  <c r="I20" i="16" s="1"/>
  <c r="K20" i="16" s="1"/>
  <c r="G21" i="16"/>
  <c r="K19" i="16"/>
  <c r="J19" i="16"/>
  <c r="G19" i="16"/>
  <c r="I18" i="16"/>
  <c r="H18" i="16"/>
  <c r="K18" i="16" s="1"/>
  <c r="G18" i="16"/>
  <c r="H16" i="16"/>
  <c r="K16" i="16" s="1"/>
  <c r="G16" i="16"/>
  <c r="G15" i="16" s="1"/>
  <c r="I15" i="16"/>
  <c r="K15" i="16" s="1"/>
  <c r="H15" i="16"/>
  <c r="I13" i="16"/>
  <c r="H11" i="16"/>
  <c r="K69" i="15"/>
  <c r="G69" i="15"/>
  <c r="J69" i="15" s="1"/>
  <c r="I68" i="15"/>
  <c r="K68" i="15" s="1"/>
  <c r="H68" i="15"/>
  <c r="G68" i="15"/>
  <c r="J68" i="15" s="1"/>
  <c r="K67" i="15"/>
  <c r="J67" i="15"/>
  <c r="G66" i="15"/>
  <c r="G65" i="15" s="1"/>
  <c r="G64" i="15" s="1"/>
  <c r="G63" i="15" s="1"/>
  <c r="I65" i="15"/>
  <c r="K65" i="15" s="1"/>
  <c r="H65" i="15"/>
  <c r="K62" i="15"/>
  <c r="J62" i="15"/>
  <c r="G62" i="15"/>
  <c r="G61" i="15" s="1"/>
  <c r="I61" i="15"/>
  <c r="I60" i="15" s="1"/>
  <c r="H61" i="15"/>
  <c r="H60" i="15"/>
  <c r="K59" i="15"/>
  <c r="G59" i="15"/>
  <c r="J59" i="15" s="1"/>
  <c r="K58" i="15"/>
  <c r="G58" i="15"/>
  <c r="J58" i="15" s="1"/>
  <c r="K57" i="15"/>
  <c r="K56" i="15"/>
  <c r="H56" i="15"/>
  <c r="G56" i="15"/>
  <c r="J56" i="15" s="1"/>
  <c r="K55" i="15"/>
  <c r="J55" i="15"/>
  <c r="G55" i="15"/>
  <c r="I54" i="15"/>
  <c r="K54" i="15" s="1"/>
  <c r="H54" i="15"/>
  <c r="G54" i="15"/>
  <c r="K53" i="15"/>
  <c r="J53" i="15"/>
  <c r="G53" i="15"/>
  <c r="G52" i="15"/>
  <c r="J52" i="15" s="1"/>
  <c r="K51" i="15"/>
  <c r="G51" i="15"/>
  <c r="J51" i="15" s="1"/>
  <c r="I50" i="15"/>
  <c r="K50" i="15" s="1"/>
  <c r="H50" i="15"/>
  <c r="G50" i="15"/>
  <c r="J50" i="15" s="1"/>
  <c r="I49" i="15"/>
  <c r="H49" i="15"/>
  <c r="G49" i="15"/>
  <c r="K48" i="15"/>
  <c r="G48" i="15"/>
  <c r="I47" i="15"/>
  <c r="K47" i="15" s="1"/>
  <c r="H47" i="15"/>
  <c r="G47" i="15"/>
  <c r="I46" i="15"/>
  <c r="I45" i="15" s="1"/>
  <c r="H46" i="15"/>
  <c r="H45" i="15" s="1"/>
  <c r="G46" i="15"/>
  <c r="K44" i="15"/>
  <c r="G44" i="15"/>
  <c r="J44" i="15" s="1"/>
  <c r="J43" i="15"/>
  <c r="H43" i="15"/>
  <c r="K43" i="15" s="1"/>
  <c r="G43" i="15"/>
  <c r="J42" i="15"/>
  <c r="I42" i="15"/>
  <c r="K42" i="15" s="1"/>
  <c r="H42" i="15"/>
  <c r="G42" i="15"/>
  <c r="K41" i="15"/>
  <c r="I41" i="15"/>
  <c r="H41" i="15"/>
  <c r="G41" i="15"/>
  <c r="I40" i="15"/>
  <c r="K40" i="15" s="1"/>
  <c r="H40" i="15"/>
  <c r="G40" i="15"/>
  <c r="I39" i="15"/>
  <c r="H39" i="15"/>
  <c r="H38" i="15" s="1"/>
  <c r="G39" i="15"/>
  <c r="K37" i="15"/>
  <c r="G37" i="15"/>
  <c r="J37" i="15" s="1"/>
  <c r="K36" i="15"/>
  <c r="G36" i="15"/>
  <c r="I35" i="15"/>
  <c r="H35" i="15"/>
  <c r="K27" i="15"/>
  <c r="J27" i="15"/>
  <c r="I26" i="15"/>
  <c r="J26" i="15" s="1"/>
  <c r="H26" i="15"/>
  <c r="G26" i="15"/>
  <c r="G25" i="15" s="1"/>
  <c r="G24" i="15" s="1"/>
  <c r="H25" i="15"/>
  <c r="H24" i="15" s="1"/>
  <c r="K23" i="15"/>
  <c r="J23" i="15"/>
  <c r="I22" i="15"/>
  <c r="K22" i="15" s="1"/>
  <c r="H22" i="15"/>
  <c r="H21" i="15" s="1"/>
  <c r="H11" i="15" s="1"/>
  <c r="H10" i="15" s="1"/>
  <c r="G22" i="15"/>
  <c r="G21" i="15"/>
  <c r="K20" i="15"/>
  <c r="J20" i="15"/>
  <c r="I19" i="15"/>
  <c r="K19" i="15" s="1"/>
  <c r="G19" i="15"/>
  <c r="G18" i="15" s="1"/>
  <c r="G11" i="15" s="1"/>
  <c r="G10" i="15" s="1"/>
  <c r="G28" i="15" s="1"/>
  <c r="I18" i="15"/>
  <c r="K18" i="15" s="1"/>
  <c r="K17" i="15"/>
  <c r="J17" i="15"/>
  <c r="K16" i="15"/>
  <c r="I16" i="15"/>
  <c r="G16" i="15"/>
  <c r="J16" i="15" s="1"/>
  <c r="K15" i="15"/>
  <c r="I15" i="15"/>
  <c r="G15" i="15"/>
  <c r="J15" i="15" s="1"/>
  <c r="K30" i="16" l="1"/>
  <c r="J61" i="15"/>
  <c r="G60" i="15"/>
  <c r="H28" i="15"/>
  <c r="G45" i="15"/>
  <c r="J45" i="15" s="1"/>
  <c r="K49" i="15"/>
  <c r="J21" i="16"/>
  <c r="G30" i="16"/>
  <c r="I42" i="16"/>
  <c r="J47" i="16"/>
  <c r="K61" i="16"/>
  <c r="K67" i="16"/>
  <c r="J108" i="16"/>
  <c r="K113" i="16"/>
  <c r="K111" i="16"/>
  <c r="G56" i="16"/>
  <c r="G55" i="16" s="1"/>
  <c r="G54" i="16" s="1"/>
  <c r="I21" i="15"/>
  <c r="J21" i="15" s="1"/>
  <c r="I25" i="15"/>
  <c r="K26" i="15"/>
  <c r="K35" i="15"/>
  <c r="I38" i="15"/>
  <c r="J41" i="15"/>
  <c r="J54" i="15"/>
  <c r="K61" i="15"/>
  <c r="I64" i="15"/>
  <c r="I63" i="15" s="1"/>
  <c r="H10" i="16"/>
  <c r="J18" i="16"/>
  <c r="K24" i="16"/>
  <c r="I26" i="16"/>
  <c r="K26" i="16" s="1"/>
  <c r="K27" i="16"/>
  <c r="I35" i="16"/>
  <c r="K36" i="16"/>
  <c r="J61" i="16"/>
  <c r="J67" i="16"/>
  <c r="K89" i="16"/>
  <c r="J116" i="16"/>
  <c r="G35" i="15"/>
  <c r="H64" i="15"/>
  <c r="H63" i="15" s="1"/>
  <c r="I12" i="16"/>
  <c r="J24" i="16"/>
  <c r="J30" i="16"/>
  <c r="J39" i="16"/>
  <c r="G42" i="16"/>
  <c r="G41" i="16" s="1"/>
  <c r="I56" i="16"/>
  <c r="K56" i="16" s="1"/>
  <c r="H63" i="16"/>
  <c r="K63" i="16" s="1"/>
  <c r="J64" i="16"/>
  <c r="J89" i="16"/>
  <c r="K99" i="16"/>
  <c r="I106" i="16"/>
  <c r="K106" i="16" s="1"/>
  <c r="K116" i="16"/>
  <c r="K12" i="16"/>
  <c r="K79" i="16"/>
  <c r="J15" i="16"/>
  <c r="G12" i="16"/>
  <c r="G20" i="16"/>
  <c r="J20" i="16" s="1"/>
  <c r="H79" i="16"/>
  <c r="I29" i="16"/>
  <c r="J32" i="16"/>
  <c r="I38" i="16"/>
  <c r="J38" i="16" s="1"/>
  <c r="I46" i="16"/>
  <c r="J57" i="16"/>
  <c r="I66" i="16"/>
  <c r="H72" i="16"/>
  <c r="K72" i="16" s="1"/>
  <c r="J98" i="16"/>
  <c r="H104" i="16"/>
  <c r="K104" i="16" s="1"/>
  <c r="J16" i="16"/>
  <c r="J26" i="16"/>
  <c r="J42" i="16"/>
  <c r="K57" i="16"/>
  <c r="J79" i="16"/>
  <c r="H91" i="16"/>
  <c r="K91" i="16" s="1"/>
  <c r="J99" i="16"/>
  <c r="J107" i="16"/>
  <c r="J110" i="16"/>
  <c r="G33" i="16"/>
  <c r="J33" i="16" s="1"/>
  <c r="I103" i="16"/>
  <c r="K103" i="16" s="1"/>
  <c r="K38" i="15"/>
  <c r="J38" i="15"/>
  <c r="I34" i="15"/>
  <c r="K45" i="15"/>
  <c r="K63" i="15"/>
  <c r="J63" i="15"/>
  <c r="J60" i="15"/>
  <c r="K60" i="15"/>
  <c r="H34" i="15"/>
  <c r="H33" i="15" s="1"/>
  <c r="H32" i="15" s="1"/>
  <c r="J39" i="15"/>
  <c r="J48" i="15"/>
  <c r="J64" i="15"/>
  <c r="J66" i="15"/>
  <c r="J18" i="15"/>
  <c r="J19" i="15"/>
  <c r="K21" i="15"/>
  <c r="J22" i="15"/>
  <c r="J25" i="15"/>
  <c r="J35" i="15"/>
  <c r="K39" i="15"/>
  <c r="J40" i="15"/>
  <c r="K46" i="15"/>
  <c r="J47" i="15"/>
  <c r="J49" i="15"/>
  <c r="K64" i="15"/>
  <c r="J65" i="15"/>
  <c r="J36" i="15"/>
  <c r="J46" i="15"/>
  <c r="J106" i="16" l="1"/>
  <c r="J12" i="16"/>
  <c r="J35" i="16"/>
  <c r="K35" i="16"/>
  <c r="J56" i="16"/>
  <c r="K42" i="16"/>
  <c r="I41" i="16"/>
  <c r="K41" i="16" s="1"/>
  <c r="K25" i="15"/>
  <c r="I24" i="15"/>
  <c r="G34" i="15"/>
  <c r="G33" i="15" s="1"/>
  <c r="G32" i="15" s="1"/>
  <c r="K29" i="16"/>
  <c r="I55" i="16"/>
  <c r="K46" i="16"/>
  <c r="J46" i="16"/>
  <c r="I45" i="16"/>
  <c r="G29" i="16"/>
  <c r="G11" i="16" s="1"/>
  <c r="G49" i="16" s="1"/>
  <c r="K66" i="16"/>
  <c r="J66" i="16"/>
  <c r="I11" i="16"/>
  <c r="I10" i="15"/>
  <c r="K11" i="15"/>
  <c r="J11" i="15"/>
  <c r="I33" i="15"/>
  <c r="K34" i="15"/>
  <c r="J34" i="15"/>
  <c r="J24" i="15" l="1"/>
  <c r="K24" i="15"/>
  <c r="J41" i="16"/>
  <c r="I54" i="16"/>
  <c r="K55" i="16"/>
  <c r="J55" i="16"/>
  <c r="K45" i="16"/>
  <c r="J45" i="16"/>
  <c r="J29" i="16"/>
  <c r="J11" i="16"/>
  <c r="I10" i="16"/>
  <c r="K11" i="16"/>
  <c r="J33" i="15"/>
  <c r="I32" i="15"/>
  <c r="K33" i="15"/>
  <c r="J10" i="15"/>
  <c r="I28" i="15"/>
  <c r="K10" i="15"/>
  <c r="C9" i="8"/>
  <c r="E32" i="5"/>
  <c r="C8" i="8" l="1"/>
  <c r="F8" i="8" s="1"/>
  <c r="F9" i="8"/>
  <c r="J10" i="16"/>
  <c r="I49" i="16"/>
  <c r="K10" i="16"/>
  <c r="J54" i="16"/>
  <c r="K54" i="16"/>
  <c r="J32" i="15"/>
  <c r="K32" i="15"/>
  <c r="K28" i="15"/>
  <c r="J28" i="15"/>
  <c r="G11" i="5"/>
  <c r="G13" i="5"/>
  <c r="G15" i="5"/>
  <c r="G20" i="5"/>
  <c r="G23" i="5"/>
  <c r="G25" i="5"/>
  <c r="G26" i="5"/>
  <c r="G27" i="5"/>
  <c r="G34" i="5"/>
  <c r="G36" i="5"/>
  <c r="G38" i="5"/>
  <c r="G43" i="5"/>
  <c r="G46" i="5"/>
  <c r="G48" i="5"/>
  <c r="G49" i="5"/>
  <c r="G50" i="5"/>
  <c r="F10" i="5"/>
  <c r="F11" i="5"/>
  <c r="F13" i="5"/>
  <c r="F15" i="5"/>
  <c r="F19" i="5"/>
  <c r="F20" i="5"/>
  <c r="F21" i="5"/>
  <c r="F23" i="5"/>
  <c r="F25" i="5"/>
  <c r="F26" i="5"/>
  <c r="F33" i="5"/>
  <c r="F34" i="5"/>
  <c r="F36" i="5"/>
  <c r="F38" i="5"/>
  <c r="F43" i="5"/>
  <c r="F46" i="5"/>
  <c r="F48" i="5"/>
  <c r="F49" i="5"/>
  <c r="D33" i="5"/>
  <c r="G33" i="5" s="1"/>
  <c r="E45" i="5"/>
  <c r="E22" i="5"/>
  <c r="E18" i="5"/>
  <c r="E8" i="5" s="1"/>
  <c r="E29" i="5" s="1"/>
  <c r="E44" i="5"/>
  <c r="G44" i="5" s="1"/>
  <c r="D24" i="5"/>
  <c r="G24" i="5" s="1"/>
  <c r="E42" i="5"/>
  <c r="G42" i="5" s="1"/>
  <c r="E35" i="5"/>
  <c r="E37" i="5"/>
  <c r="E16" i="5"/>
  <c r="E9" i="5"/>
  <c r="E12" i="5"/>
  <c r="D47" i="5"/>
  <c r="G47" i="5" s="1"/>
  <c r="D40" i="5"/>
  <c r="D39" i="5" s="1"/>
  <c r="D42" i="5"/>
  <c r="G21" i="5"/>
  <c r="D10" i="5"/>
  <c r="G10" i="5" s="1"/>
  <c r="D45" i="5"/>
  <c r="D37" i="5"/>
  <c r="D35" i="5"/>
  <c r="H35" i="14"/>
  <c r="H36" i="14"/>
  <c r="H38" i="14"/>
  <c r="H40" i="14"/>
  <c r="H41" i="14"/>
  <c r="H42" i="14"/>
  <c r="H44" i="14"/>
  <c r="H45" i="14"/>
  <c r="H46" i="14"/>
  <c r="H48" i="14"/>
  <c r="H49" i="14"/>
  <c r="H50" i="14"/>
  <c r="H51" i="14"/>
  <c r="H52" i="14"/>
  <c r="H53" i="14"/>
  <c r="H54" i="14"/>
  <c r="H56" i="14"/>
  <c r="H58" i="14"/>
  <c r="H59" i="14"/>
  <c r="G40" i="5" l="1"/>
  <c r="E41" i="5"/>
  <c r="F44" i="5"/>
  <c r="F17" i="5"/>
  <c r="G45" i="5"/>
  <c r="G37" i="5"/>
  <c r="G35" i="5"/>
  <c r="K49" i="16"/>
  <c r="J49" i="16"/>
  <c r="D32" i="5"/>
  <c r="G32" i="5" s="1"/>
  <c r="E39" i="5"/>
  <c r="F40" i="5"/>
  <c r="F42" i="5"/>
  <c r="D41" i="5"/>
  <c r="D31" i="5" s="1"/>
  <c r="D17" i="5"/>
  <c r="D16" i="5" s="1"/>
  <c r="G16" i="5" s="1"/>
  <c r="G19" i="5"/>
  <c r="D22" i="5"/>
  <c r="G22" i="5" s="1"/>
  <c r="D18" i="5"/>
  <c r="D14" i="5"/>
  <c r="G14" i="5" s="1"/>
  <c r="D12" i="5"/>
  <c r="G12" i="5" s="1"/>
  <c r="D9" i="5"/>
  <c r="F9" i="14"/>
  <c r="F158" i="7"/>
  <c r="H158" i="7" s="1"/>
  <c r="F170" i="7"/>
  <c r="H170" i="7" s="1"/>
  <c r="F184" i="7"/>
  <c r="F183" i="7" s="1"/>
  <c r="F182" i="7" s="1"/>
  <c r="G180" i="7"/>
  <c r="F180" i="7"/>
  <c r="F175" i="7"/>
  <c r="H175" i="7" s="1"/>
  <c r="F173" i="7"/>
  <c r="H173" i="7" s="1"/>
  <c r="F172" i="7"/>
  <c r="H172" i="7" s="1"/>
  <c r="F166" i="7"/>
  <c r="H166" i="7" s="1"/>
  <c r="F162" i="7"/>
  <c r="F155" i="7"/>
  <c r="H155" i="7" s="1"/>
  <c r="H184" i="7" l="1"/>
  <c r="H180" i="7"/>
  <c r="F161" i="7"/>
  <c r="H162" i="7"/>
  <c r="G9" i="5"/>
  <c r="D8" i="5"/>
  <c r="G18" i="5"/>
  <c r="D29" i="5"/>
  <c r="G31" i="5"/>
  <c r="G39" i="5"/>
  <c r="G8" i="5"/>
  <c r="G17" i="5"/>
  <c r="G41" i="5"/>
  <c r="F168" i="7"/>
  <c r="F154" i="7"/>
  <c r="H154" i="7" s="1"/>
  <c r="F149" i="7"/>
  <c r="H149" i="7" s="1"/>
  <c r="F121" i="7"/>
  <c r="H121" i="7" s="1"/>
  <c r="F124" i="7"/>
  <c r="H124" i="7" s="1"/>
  <c r="F137" i="7"/>
  <c r="F111" i="7"/>
  <c r="H111" i="7" s="1"/>
  <c r="G137" i="7"/>
  <c r="G120" i="7" s="1"/>
  <c r="F104" i="7"/>
  <c r="H104" i="7" s="1"/>
  <c r="G102" i="7"/>
  <c r="F102" i="7"/>
  <c r="G100" i="7"/>
  <c r="F100" i="7"/>
  <c r="F90" i="7"/>
  <c r="H90" i="7" s="1"/>
  <c r="F85" i="7"/>
  <c r="H85" i="7" s="1"/>
  <c r="G69" i="7"/>
  <c r="F67" i="7"/>
  <c r="H67" i="7" s="1"/>
  <c r="F69" i="7"/>
  <c r="G65" i="7"/>
  <c r="F65" i="7"/>
  <c r="G63" i="7"/>
  <c r="F63" i="7"/>
  <c r="F55" i="7"/>
  <c r="H55" i="7" s="1"/>
  <c r="F52" i="7"/>
  <c r="H52" i="7" s="1"/>
  <c r="F48" i="7"/>
  <c r="H48" i="7" s="1"/>
  <c r="G35" i="7"/>
  <c r="F35" i="7"/>
  <c r="G30" i="7"/>
  <c r="G18" i="7" s="1"/>
  <c r="F30" i="7"/>
  <c r="F25" i="7"/>
  <c r="H25" i="7" s="1"/>
  <c r="F23" i="7"/>
  <c r="H23" i="7" s="1"/>
  <c r="F13" i="7"/>
  <c r="H13" i="7" s="1"/>
  <c r="H102" i="7" l="1"/>
  <c r="H69" i="7"/>
  <c r="G38" i="7"/>
  <c r="H63" i="7"/>
  <c r="F164" i="7"/>
  <c r="H168" i="7"/>
  <c r="H30" i="7"/>
  <c r="F160" i="7"/>
  <c r="H161" i="7"/>
  <c r="H65" i="7"/>
  <c r="G164" i="7"/>
  <c r="G84" i="7"/>
  <c r="H100" i="7"/>
  <c r="H137" i="7"/>
  <c r="G34" i="7"/>
  <c r="H35" i="7"/>
  <c r="H182" i="7"/>
  <c r="H183" i="7"/>
  <c r="F19" i="7"/>
  <c r="F43" i="7"/>
  <c r="F165" i="7"/>
  <c r="H165" i="7" s="1"/>
  <c r="G29" i="5"/>
  <c r="F153" i="7"/>
  <c r="F152" i="7" s="1"/>
  <c r="F148" i="7"/>
  <c r="H148" i="7" s="1"/>
  <c r="F120" i="7"/>
  <c r="F84" i="7"/>
  <c r="F110" i="7"/>
  <c r="H110" i="7" s="1"/>
  <c r="G17" i="7"/>
  <c r="F34" i="7"/>
  <c r="F76" i="7"/>
  <c r="H76" i="7" s="1"/>
  <c r="F9" i="7"/>
  <c r="G57" i="14"/>
  <c r="G33" i="14" s="1"/>
  <c r="F57" i="14"/>
  <c r="F33" i="14" s="1"/>
  <c r="F27" i="14" s="1"/>
  <c r="H47" i="14"/>
  <c r="H43" i="14"/>
  <c r="H39" i="14"/>
  <c r="H30" i="14"/>
  <c r="H31" i="14"/>
  <c r="H32" i="14"/>
  <c r="G28" i="14"/>
  <c r="G15" i="14"/>
  <c r="G14" i="14" s="1"/>
  <c r="F15" i="14"/>
  <c r="F14" i="14" s="1"/>
  <c r="H19" i="14"/>
  <c r="H21" i="14"/>
  <c r="H22" i="14"/>
  <c r="H23" i="14"/>
  <c r="H24" i="14"/>
  <c r="H25" i="14"/>
  <c r="G17" i="14"/>
  <c r="F20" i="14"/>
  <c r="H20" i="14" s="1"/>
  <c r="F18" i="14"/>
  <c r="F28" i="14"/>
  <c r="H16" i="14"/>
  <c r="G9" i="14"/>
  <c r="H11" i="14"/>
  <c r="H12" i="14"/>
  <c r="H13" i="14"/>
  <c r="H160" i="7" l="1"/>
  <c r="G33" i="7"/>
  <c r="G32" i="7" s="1"/>
  <c r="H164" i="7"/>
  <c r="H120" i="7"/>
  <c r="H153" i="7"/>
  <c r="F38" i="7"/>
  <c r="H38" i="7" s="1"/>
  <c r="H43" i="7"/>
  <c r="G16" i="7"/>
  <c r="F18" i="7"/>
  <c r="F17" i="7" s="1"/>
  <c r="H19" i="7"/>
  <c r="H34" i="7"/>
  <c r="H84" i="7"/>
  <c r="F71" i="7"/>
  <c r="H71" i="7" s="1"/>
  <c r="H18" i="14"/>
  <c r="F17" i="14"/>
  <c r="H57" i="14"/>
  <c r="H33" i="14"/>
  <c r="H28" i="14"/>
  <c r="H37" i="14"/>
  <c r="H29" i="14"/>
  <c r="H14" i="14"/>
  <c r="H15" i="14"/>
  <c r="H17" i="14"/>
  <c r="C47" i="5"/>
  <c r="F47" i="5" s="1"/>
  <c r="C45" i="5"/>
  <c r="F45" i="5" s="1"/>
  <c r="C41" i="5"/>
  <c r="F41" i="5" s="1"/>
  <c r="C39" i="5"/>
  <c r="F39" i="5" s="1"/>
  <c r="C37" i="5"/>
  <c r="F37" i="5" s="1"/>
  <c r="C35" i="5"/>
  <c r="F35" i="5" s="1"/>
  <c r="C32" i="5"/>
  <c r="C24" i="5"/>
  <c r="F24" i="5" s="1"/>
  <c r="C22" i="5"/>
  <c r="F22" i="5" s="1"/>
  <c r="C18" i="5"/>
  <c r="F18" i="5" s="1"/>
  <c r="C16" i="5"/>
  <c r="F16" i="5" s="1"/>
  <c r="C14" i="5"/>
  <c r="F14" i="5" s="1"/>
  <c r="C12" i="5"/>
  <c r="F12" i="5" s="1"/>
  <c r="C9" i="5"/>
  <c r="E28" i="13"/>
  <c r="E26" i="13"/>
  <c r="E24" i="13"/>
  <c r="E22" i="13"/>
  <c r="E17" i="13"/>
  <c r="E13" i="13"/>
  <c r="E11" i="13"/>
  <c r="E9" i="13"/>
  <c r="D27" i="13"/>
  <c r="D28" i="13"/>
  <c r="D24" i="13"/>
  <c r="D22" i="13"/>
  <c r="D17" i="13"/>
  <c r="D13" i="13"/>
  <c r="D11" i="13"/>
  <c r="D9" i="13"/>
  <c r="C24" i="13"/>
  <c r="C26" i="13"/>
  <c r="C22" i="13"/>
  <c r="C28" i="13"/>
  <c r="C17" i="13"/>
  <c r="C13" i="13"/>
  <c r="C11" i="13"/>
  <c r="C9" i="13"/>
  <c r="F33" i="7" l="1"/>
  <c r="F32" i="7" s="1"/>
  <c r="H152" i="7"/>
  <c r="H18" i="7"/>
  <c r="F16" i="7"/>
  <c r="H16" i="7" s="1"/>
  <c r="H17" i="7"/>
  <c r="H10" i="7"/>
  <c r="H9" i="7"/>
  <c r="G13" i="13"/>
  <c r="F13" i="13"/>
  <c r="D26" i="13"/>
  <c r="G27" i="13"/>
  <c r="F17" i="13"/>
  <c r="G17" i="13"/>
  <c r="G28" i="13"/>
  <c r="F28" i="13"/>
  <c r="F22" i="13"/>
  <c r="G22" i="13"/>
  <c r="F26" i="13"/>
  <c r="G26" i="13"/>
  <c r="D21" i="13"/>
  <c r="G9" i="13"/>
  <c r="F9" i="13"/>
  <c r="F11" i="13"/>
  <c r="G11" i="13"/>
  <c r="G24" i="13"/>
  <c r="F24" i="13"/>
  <c r="G27" i="14"/>
  <c r="G26" i="14" s="1"/>
  <c r="H34" i="14"/>
  <c r="C31" i="5"/>
  <c r="F31" i="5" s="1"/>
  <c r="F32" i="5"/>
  <c r="C8" i="5"/>
  <c r="F8" i="5" s="1"/>
  <c r="F9" i="5"/>
  <c r="D8" i="13"/>
  <c r="D19" i="13" s="1"/>
  <c r="E21" i="13"/>
  <c r="C8" i="13"/>
  <c r="C19" i="13" s="1"/>
  <c r="H33" i="7" l="1"/>
  <c r="F21" i="13"/>
  <c r="G21" i="13"/>
  <c r="C29" i="5"/>
  <c r="F29" i="5" s="1"/>
  <c r="F26" i="14"/>
  <c r="H26" i="14" s="1"/>
  <c r="H27" i="14"/>
  <c r="H32" i="7"/>
  <c r="F8" i="13"/>
  <c r="G8" i="13"/>
  <c r="E19" i="13"/>
  <c r="G19" i="13" l="1"/>
  <c r="F19" i="13"/>
  <c r="H10" i="14"/>
  <c r="H9" i="14"/>
</calcChain>
</file>

<file path=xl/sharedStrings.xml><?xml version="1.0" encoding="utf-8"?>
<sst xmlns="http://schemas.openxmlformats.org/spreadsheetml/2006/main" count="740" uniqueCount="247">
  <si>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</si>
  <si>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</si>
  <si>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</si>
  <si>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</si>
  <si>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</si>
  <si>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</si>
  <si>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</si>
  <si>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</si>
  <si>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</si>
  <si>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</si>
  <si>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</si>
  <si>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</si>
  <si>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</si>
  <si>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</si>
  <si>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</si>
  <si>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</si>
  <si>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</si>
  <si>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PRIJENOS SREDSTAVA IZ PRETHODNE GODINE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</si>
  <si>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</si>
  <si>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</si>
  <si>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</si>
  <si>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</si>
  <si>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</si>
  <si>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</si>
  <si>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</si>
  <si>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</si>
  <si>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</si>
  <si>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</si>
  <si>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</si>
  <si>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</si>
  <si>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</si>
  <si>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</si>
  <si>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</si>
  <si>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</si>
  <si>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</si>
  <si>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</si>
  <si>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</si>
  <si>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</si>
  <si>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</si>
  <si>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</si>
  <si>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</si>
  <si>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</si>
  <si>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</si>
  <si>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</si>
  <si>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</si>
  <si>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</si>
  <si>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</si>
  <si>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</si>
  <si>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</si>
  <si>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</si>
  <si>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</si>
  <si>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</si>
  <si>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</si>
  <si>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</si>
  <si>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</si>
  <si>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</si>
  <si>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</si>
  <si>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</si>
  <si>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</si>
  <si>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</si>
  <si>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</si>
  <si>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</si>
  <si>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</si>
  <si>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</si>
  <si>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</si>
  <si>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</si>
  <si>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</si>
  <si>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</si>
  <si>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</si>
  <si>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</si>
  <si>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</si>
  <si>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</si>
  <si>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</si>
  <si>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</si>
  <si>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</si>
  <si>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</si>
  <si>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UČENIČKI DOM</t>
  </si>
  <si>
    <t>SREDNJA ŠKOLA BEDEKOVČINA</t>
  </si>
  <si>
    <t>Prihodi po posebnim propisima</t>
  </si>
  <si>
    <t>Ostali nespomenuti prihodi</t>
  </si>
  <si>
    <t>Prihodi od prodaje proizvoda i robe te pruženih usluga i prihodi od donacija</t>
  </si>
  <si>
    <t>Prihodi od pruženih usluga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</si>
  <si>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</si>
  <si>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</si>
  <si>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</si>
  <si>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 xml:space="preserve">Višak prihoda </t>
  </si>
  <si>
    <t>Višak prihoda poslovanja iz prethodnih godina</t>
  </si>
  <si>
    <t>UKUPNO PRIHODI + VIŠAK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</si>
  <si>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</si>
  <si>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</si>
  <si>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</si>
  <si>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</si>
  <si>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</si>
  <si>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</si>
  <si>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</si>
  <si>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</si>
  <si>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</si>
  <si>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</si>
  <si>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</si>
  <si>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</si>
  <si>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</si>
  <si>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Ostale usluge</t>
  </si>
  <si>
    <t>Premije osiguranja</t>
  </si>
  <si>
    <t>Reprezentacija</t>
  </si>
  <si>
    <t>Pristojbe i naknade</t>
  </si>
  <si>
    <t>Ostali nespomenuti rashodi poslovanja</t>
  </si>
  <si>
    <t>Rashodi za materijal i energiju</t>
  </si>
  <si>
    <t>Rashodi za usluge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</si>
  <si>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</si>
  <si>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</si>
  <si>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</si>
  <si>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</si>
  <si>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</si>
  <si>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Uređaji, strojevi i oprema za ostale namjene</t>
  </si>
  <si>
    <t>Nematerijalna proizvedena imovina</t>
  </si>
  <si>
    <t>Ulaganja u računalne programe</t>
  </si>
  <si>
    <t>Intelektualne i osobne usluge</t>
  </si>
  <si>
    <t>-</t>
  </si>
  <si>
    <t>13 Decentralizacija</t>
  </si>
  <si>
    <t>4 Prihodi za posebne namjene</t>
  </si>
  <si>
    <t>43 Ostali prihodi za posebne namjene</t>
  </si>
  <si>
    <t>9 Višak</t>
  </si>
  <si>
    <t>91 Višak (prihodi posebne namjene)</t>
  </si>
  <si>
    <t>4 Prihodi posebne namjene</t>
  </si>
  <si>
    <t>Decentralizacija</t>
  </si>
  <si>
    <t>5=4/2*100</t>
  </si>
  <si>
    <t>2 Donacije</t>
  </si>
  <si>
    <t>21 Donacije</t>
  </si>
  <si>
    <t>5 Pomoći</t>
  </si>
  <si>
    <t>52 Ministarstvo</t>
  </si>
  <si>
    <t>54 JLS</t>
  </si>
  <si>
    <t>57 Ministarstvo - prijenos EU</t>
  </si>
  <si>
    <t>7 Prihodi od prodaje nefinancijske imovine</t>
  </si>
  <si>
    <t>71 Prihodi od prodaje nefinancijske imovine</t>
  </si>
  <si>
    <t>91 Višak (Ministarstvo)</t>
  </si>
  <si>
    <t>91 Višak (Ministarstvo - prijenos EU)</t>
  </si>
  <si>
    <t>Pomoći iz inozemstva i od subjekata unutar općeg proračuna</t>
  </si>
  <si>
    <t>Prihodi od imovine</t>
  </si>
  <si>
    <t>UČENIČKI DOM BEDEKOVČINA</t>
  </si>
  <si>
    <t>IZVORI FINANCIRANJA UKUPNO</t>
  </si>
  <si>
    <t>Opći prihodi i primici</t>
  </si>
  <si>
    <t>Vlastiti prihodi</t>
  </si>
  <si>
    <t>Prihodi za posebne namjene</t>
  </si>
  <si>
    <t>Rezultat</t>
  </si>
  <si>
    <t xml:space="preserve"> IZVRŠENJE 
2023. </t>
  </si>
  <si>
    <t>PROGRAM J01 1002</t>
  </si>
  <si>
    <t>UČENIČKI DOM - ZAKONSKI STANDARD</t>
  </si>
  <si>
    <t>AKTIVNOST A102000</t>
  </si>
  <si>
    <t>REDOVNI POSLOVI UČENIČKOG DOMA</t>
  </si>
  <si>
    <t>PROGRAM J01 1003</t>
  </si>
  <si>
    <t>DOPUNSKI NASTAVNI I VANNASTAVNI PROGRAM ŠKOLA I OBRAZOVNIH INSTITUCIJA</t>
  </si>
  <si>
    <t>AKTIVNOST A102003</t>
  </si>
  <si>
    <t>FINANCIRANJE - OSTALI RASHODI - UD</t>
  </si>
  <si>
    <t>Prihodi posebne namjene</t>
  </si>
  <si>
    <t xml:space="preserve">OSTVARENJE/ IZVRŠENJE 
2022. </t>
  </si>
  <si>
    <t xml:space="preserve">OSTVARENJE/ IZVRŠENJE 
2023. </t>
  </si>
  <si>
    <t>Donacije</t>
  </si>
  <si>
    <t>Ministarstvo</t>
  </si>
  <si>
    <t>PROGRAM J01 1001</t>
  </si>
  <si>
    <t>SREDNJEŠKOLSKO OBRAZOVANJE - ZAKONSKI STANDARD</t>
  </si>
  <si>
    <t>REDOVNI POSLOVI USTANOVA SREDNJEŠKOLSKOG OBRAZOVANJA</t>
  </si>
  <si>
    <t>Zakupnine i najamnine</t>
  </si>
  <si>
    <t>Ostali rashodi za zaposlene</t>
  </si>
  <si>
    <t>Doprinosi za obvezno zdravstveno osiguranje</t>
  </si>
  <si>
    <t>Intelektualne usluge</t>
  </si>
  <si>
    <t>Licence</t>
  </si>
  <si>
    <t>Ulaganje u računalne programe</t>
  </si>
  <si>
    <t>Građevinski objekti</t>
  </si>
  <si>
    <t>Knjige</t>
  </si>
  <si>
    <t>JLS PK</t>
  </si>
  <si>
    <t>Ministarstvo prijenos EU PK</t>
  </si>
  <si>
    <t>AKTIVNOST A102002</t>
  </si>
  <si>
    <t>FINANCIRANJE - OSTALI RASHODI SŠ</t>
  </si>
  <si>
    <t>TEKUĆI PROJEKT T103020</t>
  </si>
  <si>
    <t>PROJEKT BALTAZAR</t>
  </si>
  <si>
    <t>TEKUĆI PROJEKT T103000</t>
  </si>
  <si>
    <t>DOPUNSKA SREDSTVA ZA MATERIJALNE RASHODE I OPREMU ŠKOLA</t>
  </si>
  <si>
    <t>TEKUĆI PROJEKT T103024</t>
  </si>
  <si>
    <t>ŠKOLSKA SHEMA</t>
  </si>
  <si>
    <t>PROGRAM GRAĐANSKOG ODGOJA U ŠKOLAMA</t>
  </si>
  <si>
    <t xml:space="preserve">OSTVARENJE/ IZVRŠENJE 2022. </t>
  </si>
  <si>
    <t>Ostali rashodi</t>
  </si>
  <si>
    <t>Tekuće donacije</t>
  </si>
  <si>
    <t>4=3/2*100</t>
  </si>
  <si>
    <t>91 Višak (Prihodi posebne namjene)</t>
  </si>
  <si>
    <t>6=4/3*100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</si>
  <si>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</si>
  <si>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</si>
  <si>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</si>
  <si>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</si>
  <si>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638</t>
  </si>
  <si>
    <t>Pomoći temeljem prijenosa EU sredstava</t>
  </si>
  <si>
    <t>6381</t>
  </si>
  <si>
    <t>Tekuće pomoći temeljem prijenosa EU sredstava</t>
  </si>
  <si>
    <t>642</t>
  </si>
  <si>
    <t>Prihodi od nefinancijske imovine</t>
  </si>
  <si>
    <t>6422</t>
  </si>
  <si>
    <t>Prihodi od zakupa i iznajmljivanja imovine</t>
  </si>
  <si>
    <t>Ostali prihodi</t>
  </si>
  <si>
    <t>Plaće za prekovremeni rad</t>
  </si>
  <si>
    <t>Plaće za posebne uvjete rada</t>
  </si>
  <si>
    <t>Doprinosi na plaće</t>
  </si>
  <si>
    <t>Doprinosi za obvezno zdravstveno osiguranje u slučaju nezaposlenosti</t>
  </si>
  <si>
    <t>Naknade za prijevoz, za rad na terenu i odvojeni život</t>
  </si>
  <si>
    <t>Sitni inventar  auto gume</t>
  </si>
  <si>
    <t>Naknade troškova osobama izvan radnog odnosa</t>
  </si>
  <si>
    <t>Članarine i norme</t>
  </si>
  <si>
    <t>Troškovi sudskih postupaka</t>
  </si>
  <si>
    <t>Negativne tečajne razlike i razlike zbog primjene valutne klauzule</t>
  </si>
  <si>
    <t>Zatezne kamate</t>
  </si>
  <si>
    <t>Nematerijalna imovina</t>
  </si>
  <si>
    <t>Poslovni objekti</t>
  </si>
  <si>
    <t>Uredska oprema i namještaj</t>
  </si>
  <si>
    <t>Knjige, umjetnička djela i ostale izložbene vrijednosti</t>
  </si>
  <si>
    <t>SREDNJA ŠKOLA BEDEKOVČINA I UČENIČKI DOM</t>
  </si>
  <si>
    <t>09 Obrazovanje</t>
  </si>
  <si>
    <t>096 Dodatne usluge u obrazovanju</t>
  </si>
  <si>
    <t xml:space="preserve"> IZVRŠENJE 
2022. </t>
  </si>
  <si>
    <t>092 Srednjoškolsko obrazovanje</t>
  </si>
  <si>
    <t>641</t>
  </si>
  <si>
    <t>Prihodi od financijske imovine</t>
  </si>
  <si>
    <t>Kamate na oročena sredstva i depozite po viđenju</t>
  </si>
  <si>
    <t>Prihodi od pozitivnih tečajnih razlika i razlika zbog primjene valutne klauzule</t>
  </si>
  <si>
    <t>Višak prihoda</t>
  </si>
  <si>
    <t>Tekuće donacije u naravi</t>
  </si>
  <si>
    <t>,</t>
  </si>
  <si>
    <t>634</t>
  </si>
  <si>
    <t>6341</t>
  </si>
  <si>
    <t>Tekuće pomoći od izvanproračunskih korisnika</t>
  </si>
  <si>
    <t>6362</t>
  </si>
  <si>
    <t>Kapitalne pomoći proračunskim korisnicima iz proračuna koji im nije nadležan</t>
  </si>
  <si>
    <t>Ostale naknade troškova zaposlenima</t>
  </si>
  <si>
    <t>91 Višak (Opći prihodi i primici)</t>
  </si>
  <si>
    <t>Višak (Prihodi posebne namjene)</t>
  </si>
  <si>
    <t>Prihodi posebne namjene - višak</t>
  </si>
  <si>
    <t>Ostali građevinski objekti</t>
  </si>
  <si>
    <t>AKTIVNOST A102006</t>
  </si>
  <si>
    <t>Ministarstvo - višak</t>
  </si>
  <si>
    <t xml:space="preserve">OSTVARENJE/IZVRŠENJE 
2022. </t>
  </si>
  <si>
    <t xml:space="preserve">OSTVARENJE/IZVRŠENJE 
2023. </t>
  </si>
  <si>
    <t xml:space="preserve">OSTVARENJE/IZVRŠENJE 2022. </t>
  </si>
  <si>
    <t>Ministarstvo prijenos EU PK - višak</t>
  </si>
  <si>
    <t>Opći prihodi i primici - višak</t>
  </si>
  <si>
    <t>IZVJEŠTAJ O IZVRŠENJU FINANCIJSKOG PLANA SREDNJE ŠKOLE BEDEKOVČINA I UČENIČKOG DOMA
ZA 2023. GODINU</t>
  </si>
  <si>
    <t>Ravnateljica: Vera Hrvoj, univ.spec.pol.</t>
  </si>
  <si>
    <t>Predsjednica Školskog odbora: Daniela Usmiani, prof.</t>
  </si>
  <si>
    <t>Bedekovčina, 28.3.2024.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</si>
</sst>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left" vertical="center" wrapText="1" indent="1"/>
    </xf>
    <xf numFmtId="0" fontId="8" fillId="2" borderId="3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3" xfId="0" applyBorder="1"/>
    <xf numFmtId="0" fontId="14" fillId="0" borderId="5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vertical="top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3" fontId="5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9" fillId="0" borderId="0" xfId="0" applyFont="1"/>
    <xf numFmtId="0" fontId="1" fillId="0" borderId="0" xfId="0" applyFont="1" applyAlignment="1">
      <alignment vertical="top" wrapText="1"/>
    </xf>
    <xf numFmtId="0" fontId="20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3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18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" fillId="0" borderId="0" xfId="0" applyFont="1"/>
    <xf numFmtId="0" fontId="6" fillId="2" borderId="4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/>
    <xf numFmtId="3" fontId="17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3" fontId="1" fillId="0" borderId="3" xfId="0" applyNumberFormat="1" applyFont="1" applyBorder="1"/>
    <xf numFmtId="3" fontId="3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22" fillId="0" borderId="0" xfId="0" applyFont="1"/>
    <xf numFmtId="0" fontId="23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3" fontId="0" fillId="0" borderId="0" xfId="0" applyNumberFormat="1"/>
    <xf numFmtId="3" fontId="24" fillId="2" borderId="3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3" fontId="10" fillId="2" borderId="4" xfId="0" applyNumberFormat="1" applyFont="1" applyFill="1" applyBorder="1" applyAlignment="1">
      <alignment horizontal="right"/>
    </xf>
    <xf numFmtId="3" fontId="8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3" fillId="2" borderId="3" xfId="0" applyNumberFormat="1" applyFont="1" applyFill="1" applyBorder="1" applyAlignment="1">
      <alignment horizontal="right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/>
    <xf numFmtId="4" fontId="0" fillId="0" borderId="3" xfId="0" applyNumberFormat="1" applyBorder="1"/>
    <xf numFmtId="4" fontId="1" fillId="0" borderId="3" xfId="0" applyNumberFormat="1" applyFont="1" applyBorder="1" applyAlignment="1">
      <alignment horizontal="right"/>
    </xf>
    <xf numFmtId="4" fontId="25" fillId="0" borderId="3" xfId="0" applyNumberFormat="1" applyFont="1" applyBorder="1"/>
    <xf numFmtId="4" fontId="26" fillId="0" borderId="3" xfId="0" applyNumberFormat="1" applyFont="1" applyBorder="1"/>
    <xf numFmtId="4" fontId="0" fillId="0" borderId="3" xfId="0" applyNumberFormat="1" applyBorder="1" applyAlignment="1">
      <alignment horizontal="right"/>
    </xf>
    <xf numFmtId="2" fontId="1" fillId="0" borderId="3" xfId="0" applyNumberFormat="1" applyFont="1" applyBorder="1"/>
    <xf numFmtId="2" fontId="0" fillId="0" borderId="3" xfId="0" applyNumberFormat="1" applyFont="1" applyBorder="1"/>
    <xf numFmtId="4" fontId="6" fillId="2" borderId="4" xfId="0" applyNumberFormat="1" applyFont="1" applyFill="1" applyBorder="1" applyAlignment="1">
      <alignment horizontal="right"/>
    </xf>
    <xf numFmtId="4" fontId="8" fillId="2" borderId="3" xfId="0" applyNumberFormat="1" applyFont="1" applyFill="1" applyBorder="1" applyAlignment="1">
      <alignment horizontal="right"/>
    </xf>
    <xf numFmtId="4" fontId="24" fillId="2" borderId="3" xfId="0" applyNumberFormat="1" applyFont="1" applyFill="1" applyBorder="1" applyAlignment="1">
      <alignment horizontal="right"/>
    </xf>
    <xf numFmtId="4" fontId="10" fillId="2" borderId="4" xfId="0" applyNumberFormat="1" applyFont="1" applyFill="1" applyBorder="1" applyAlignment="1">
      <alignment horizontal="right"/>
    </xf>
    <xf numFmtId="4" fontId="8" fillId="0" borderId="3" xfId="0" applyNumberFormat="1" applyFont="1" applyBorder="1" applyAlignment="1">
      <alignment vertical="center"/>
    </xf>
    <xf numFmtId="4" fontId="8" fillId="3" borderId="3" xfId="0" applyNumberFormat="1" applyFont="1" applyFill="1" applyBorder="1" applyAlignment="1">
      <alignment vertical="center"/>
    </xf>
    <xf numFmtId="4" fontId="8" fillId="0" borderId="3" xfId="0" applyNumberFormat="1" applyFont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4" fontId="10" fillId="0" borderId="3" xfId="0" applyNumberFormat="1" applyFont="1" applyBorder="1" applyAlignment="1">
      <alignment horizontal="left"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4" fontId="7" fillId="3" borderId="3" xfId="0" applyNumberFormat="1" applyFont="1" applyFill="1" applyBorder="1" applyAlignment="1">
      <alignment wrapText="1"/>
    </xf>
    <xf numFmtId="4" fontId="6" fillId="0" borderId="3" xfId="0" applyNumberFormat="1" applyFont="1" applyBorder="1" applyAlignment="1">
      <alignment horizontal="right"/>
    </xf>
    <xf numFmtId="4" fontId="6" fillId="4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left" vertical="center" wrapText="1"/>
    </xf>
    <xf numFmtId="4" fontId="5" fillId="3" borderId="3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6" fillId="0" borderId="3" xfId="0" quotePrefix="1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3" borderId="1" xfId="0" quotePrefix="1" applyFont="1" applyFill="1" applyBorder="1" applyAlignment="1">
      <alignment horizontal="left" vertical="center" wrapText="1"/>
    </xf>
    <xf numFmtId="0" fontId="6" fillId="3" borderId="2" xfId="0" quotePrefix="1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 wrapText="1"/>
    </xf>
    <xf numFmtId="0" fontId="16" fillId="0" borderId="4" xfId="0" quotePrefix="1" applyFont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horizontal="left" vertical="center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0" fillId="3" borderId="4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6" fillId="0" borderId="1" xfId="0" quotePrefix="1" applyFont="1" applyBorder="1" applyAlignment="1">
      <alignment horizontal="center" wrapText="1"/>
    </xf>
    <xf numFmtId="0" fontId="16" fillId="0" borderId="2" xfId="0" quotePrefix="1" applyFont="1" applyBorder="1" applyAlignment="1">
      <alignment horizontal="center" wrapText="1"/>
    </xf>
    <xf numFmtId="0" fontId="16" fillId="0" borderId="4" xfId="0" quotePrefix="1" applyFont="1" applyBorder="1" applyAlignment="1">
      <alignment horizontal="center" wrapText="1"/>
    </xf>
    <xf numFmtId="0" fontId="10" fillId="0" borderId="1" xfId="0" quotePrefix="1" applyFont="1" applyBorder="1" applyAlignment="1">
      <alignment horizontal="left" vertical="center"/>
    </xf>
    <xf numFmtId="0" fontId="10" fillId="0" borderId="2" xfId="0" quotePrefix="1" applyFont="1" applyBorder="1" applyAlignment="1">
      <alignment horizontal="left" vertical="center"/>
    </xf>
    <xf numFmtId="0" fontId="10" fillId="0" borderId="4" xfId="0" quotePrefix="1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4" xfId="0" quotePrefix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6"/>
  <sheetViews>
    <sheetView tabSelected="1" workbookViewId="0">
      <selection activeCell="B1" sqref="B1:K1"/>
    </sheetView>
  </sheetViews>
  <sheetFormatPr defaultRowHeight="15" x14ac:dyDescent="0.25"/>
  <cols>
    <col min="6" max="9" width="25.28515625" customWidth="1"/>
    <col min="10" max="11" width="15.7109375" customWidth="1"/>
    <col min="12" max="12" width="25.28515625" customWidth="1"/>
  </cols>
  <sheetData>
    <row r="1" spans="2:12" ht="42" customHeight="1" x14ac:dyDescent="0.25">
      <c r="B1" s="134" t="s">
        <v>243</v>
      </c>
      <c r="C1" s="134"/>
      <c r="D1" s="134"/>
      <c r="E1" s="134"/>
      <c r="F1" s="134"/>
      <c r="G1" s="134"/>
      <c r="H1" s="134"/>
      <c r="I1" s="134"/>
      <c r="J1" s="134"/>
      <c r="K1" s="134"/>
      <c r="L1" s="31"/>
    </row>
    <row r="2" spans="2:12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15.75" customHeight="1" x14ac:dyDescent="0.25">
      <c r="B3" s="134" t="s">
        <v>12</v>
      </c>
      <c r="C3" s="134"/>
      <c r="D3" s="134"/>
      <c r="E3" s="134"/>
      <c r="F3" s="134"/>
      <c r="G3" s="134"/>
      <c r="H3" s="134"/>
      <c r="I3" s="134"/>
      <c r="J3" s="134"/>
      <c r="K3" s="134"/>
      <c r="L3" s="30"/>
    </row>
    <row r="4" spans="2:12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 ht="18" customHeight="1" x14ac:dyDescent="0.25">
      <c r="B5" s="134" t="s">
        <v>65</v>
      </c>
      <c r="C5" s="134"/>
      <c r="D5" s="134"/>
      <c r="E5" s="134"/>
      <c r="F5" s="134"/>
      <c r="G5" s="134"/>
      <c r="H5" s="134"/>
      <c r="I5" s="134"/>
      <c r="J5" s="134"/>
      <c r="K5" s="134"/>
      <c r="L5" s="29"/>
    </row>
    <row r="6" spans="2:12" ht="18" customHeight="1" x14ac:dyDescent="0.25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29"/>
    </row>
    <row r="7" spans="2:12" ht="18" customHeight="1" x14ac:dyDescent="0.25">
      <c r="B7" s="124" t="s">
        <v>75</v>
      </c>
      <c r="C7" s="124"/>
      <c r="D7" s="124"/>
      <c r="E7" s="124"/>
      <c r="F7" s="124"/>
      <c r="G7" s="5"/>
      <c r="H7" s="6"/>
      <c r="I7" s="6"/>
      <c r="J7" s="33"/>
      <c r="K7" s="33"/>
    </row>
    <row r="8" spans="2:12" ht="25.5" customHeight="1" x14ac:dyDescent="0.25">
      <c r="B8" s="125" t="s">
        <v>8</v>
      </c>
      <c r="C8" s="126"/>
      <c r="D8" s="126"/>
      <c r="E8" s="126"/>
      <c r="F8" s="127"/>
      <c r="G8" s="111" t="s">
        <v>238</v>
      </c>
      <c r="H8" s="111" t="s">
        <v>64</v>
      </c>
      <c r="I8" s="111" t="s">
        <v>239</v>
      </c>
      <c r="J8" s="111" t="s">
        <v>30</v>
      </c>
      <c r="K8" s="111" t="s">
        <v>62</v>
      </c>
    </row>
    <row r="9" spans="2:12" x14ac:dyDescent="0.25">
      <c r="B9" s="135">
        <v>1</v>
      </c>
      <c r="C9" s="136"/>
      <c r="D9" s="136"/>
      <c r="E9" s="136"/>
      <c r="F9" s="137"/>
      <c r="G9" s="37">
        <v>2</v>
      </c>
      <c r="H9" s="36">
        <v>3</v>
      </c>
      <c r="I9" s="36">
        <v>4</v>
      </c>
      <c r="J9" s="36" t="s">
        <v>125</v>
      </c>
      <c r="K9" s="36" t="s">
        <v>185</v>
      </c>
    </row>
    <row r="10" spans="2:12" ht="15" customHeight="1" x14ac:dyDescent="0.25">
      <c r="B10" s="115" t="s">
        <v>32</v>
      </c>
      <c r="C10" s="116"/>
      <c r="D10" s="116"/>
      <c r="E10" s="116"/>
      <c r="F10" s="117"/>
      <c r="G10" s="94">
        <f>3066141.26+175334.23</f>
        <v>3241475.4899999998</v>
      </c>
      <c r="H10" s="21">
        <f>3295126+185561</f>
        <v>3480687</v>
      </c>
      <c r="I10" s="101">
        <v>3484235.92</v>
      </c>
      <c r="J10" s="101">
        <f>I10/G10*100</f>
        <v>107.48919529852748</v>
      </c>
      <c r="K10" s="101">
        <f>I10/H10*100</f>
        <v>100.10196033139434</v>
      </c>
    </row>
    <row r="11" spans="2:12" x14ac:dyDescent="0.25">
      <c r="B11" s="138" t="s">
        <v>31</v>
      </c>
      <c r="C11" s="139"/>
      <c r="D11" s="139"/>
      <c r="E11" s="139"/>
      <c r="F11" s="140"/>
      <c r="G11" s="94">
        <v>356.37</v>
      </c>
      <c r="H11" s="21">
        <v>130</v>
      </c>
      <c r="I11" s="101">
        <v>126.93</v>
      </c>
      <c r="J11" s="101">
        <f>I11/G11*100</f>
        <v>35.617476218536915</v>
      </c>
      <c r="K11" s="101">
        <f t="shared" ref="K11:K16" si="0">I11/H11*100</f>
        <v>97.638461538461542</v>
      </c>
    </row>
    <row r="12" spans="2:12" ht="15" customHeight="1" x14ac:dyDescent="0.25">
      <c r="B12" s="141" t="s">
        <v>0</v>
      </c>
      <c r="C12" s="142"/>
      <c r="D12" s="142"/>
      <c r="E12" s="142"/>
      <c r="F12" s="143"/>
      <c r="G12" s="95">
        <f>G10+G11</f>
        <v>3241831.86</v>
      </c>
      <c r="H12" s="20">
        <f>H10+H11</f>
        <v>3480817</v>
      </c>
      <c r="I12" s="102">
        <f>I10+I11</f>
        <v>3484362.85</v>
      </c>
      <c r="J12" s="102">
        <f t="shared" ref="J12:J16" si="1">I12/G12*100</f>
        <v>107.48129454190756</v>
      </c>
      <c r="K12" s="102">
        <f t="shared" si="0"/>
        <v>100.10186832574077</v>
      </c>
    </row>
    <row r="13" spans="2:12" ht="15" customHeight="1" x14ac:dyDescent="0.25">
      <c r="B13" s="144" t="s">
        <v>33</v>
      </c>
      <c r="C13" s="145"/>
      <c r="D13" s="145"/>
      <c r="E13" s="145"/>
      <c r="F13" s="146"/>
      <c r="G13" s="96">
        <f>3152314.14+168734.92</f>
        <v>3321049.06</v>
      </c>
      <c r="H13" s="21">
        <f>3421792+233767</f>
        <v>3655559</v>
      </c>
      <c r="I13" s="101">
        <v>3530912.72</v>
      </c>
      <c r="J13" s="101">
        <f t="shared" si="1"/>
        <v>106.31919782600261</v>
      </c>
      <c r="K13" s="101">
        <f t="shared" si="0"/>
        <v>96.590226556321497</v>
      </c>
    </row>
    <row r="14" spans="2:12" x14ac:dyDescent="0.25">
      <c r="B14" s="138" t="s">
        <v>34</v>
      </c>
      <c r="C14" s="139"/>
      <c r="D14" s="139"/>
      <c r="E14" s="139"/>
      <c r="F14" s="140"/>
      <c r="G14" s="94">
        <f>9229.97+41616.33</f>
        <v>50846.3</v>
      </c>
      <c r="H14" s="21">
        <f>58908+4010</f>
        <v>62918</v>
      </c>
      <c r="I14" s="101">
        <v>54307.27</v>
      </c>
      <c r="J14" s="101">
        <f t="shared" si="1"/>
        <v>106.80672929987038</v>
      </c>
      <c r="K14" s="101">
        <f t="shared" si="0"/>
        <v>86.314361549953901</v>
      </c>
    </row>
    <row r="15" spans="2:12" x14ac:dyDescent="0.25">
      <c r="B15" s="23" t="s">
        <v>1</v>
      </c>
      <c r="C15" s="110"/>
      <c r="D15" s="110"/>
      <c r="E15" s="110"/>
      <c r="F15" s="110"/>
      <c r="G15" s="95">
        <f>G13+G14</f>
        <v>3371895.36</v>
      </c>
      <c r="H15" s="20">
        <f>H13+H14</f>
        <v>3718477</v>
      </c>
      <c r="I15" s="103">
        <f>I13+I14</f>
        <v>3585219.99</v>
      </c>
      <c r="J15" s="102">
        <f t="shared" si="1"/>
        <v>106.32654952851206</v>
      </c>
      <c r="K15" s="102">
        <f t="shared" si="0"/>
        <v>96.416355136793925</v>
      </c>
    </row>
    <row r="16" spans="2:12" ht="15" customHeight="1" x14ac:dyDescent="0.25">
      <c r="B16" s="131" t="s">
        <v>2</v>
      </c>
      <c r="C16" s="132"/>
      <c r="D16" s="132"/>
      <c r="E16" s="132"/>
      <c r="F16" s="133"/>
      <c r="G16" s="97">
        <f>G12-G15</f>
        <v>-130063.5</v>
      </c>
      <c r="H16" s="22">
        <f>H12-H15</f>
        <v>-237660</v>
      </c>
      <c r="I16" s="104">
        <f>I12-I15</f>
        <v>-100857.14000000013</v>
      </c>
      <c r="J16" s="102">
        <f t="shared" si="1"/>
        <v>77.544537860352918</v>
      </c>
      <c r="K16" s="102">
        <f t="shared" si="0"/>
        <v>42.437574686527022</v>
      </c>
    </row>
    <row r="17" spans="1:48" ht="18" x14ac:dyDescent="0.25">
      <c r="B17" s="3"/>
      <c r="C17" s="7"/>
      <c r="D17" s="7"/>
      <c r="E17" s="7"/>
      <c r="F17" s="7"/>
      <c r="G17" s="7"/>
      <c r="H17" s="7"/>
      <c r="I17" s="7"/>
      <c r="J17" s="1"/>
      <c r="K17" s="1"/>
      <c r="L17" s="1"/>
    </row>
    <row r="18" spans="1:48" ht="18" customHeight="1" x14ac:dyDescent="0.25">
      <c r="B18" s="124" t="s">
        <v>72</v>
      </c>
      <c r="C18" s="124"/>
      <c r="D18" s="124"/>
      <c r="E18" s="124"/>
      <c r="F18" s="124"/>
      <c r="G18" s="7"/>
      <c r="H18" s="7"/>
      <c r="I18" s="7"/>
      <c r="J18" s="1"/>
      <c r="K18" s="1"/>
      <c r="L18" s="1"/>
    </row>
    <row r="19" spans="1:48" ht="25.5" customHeight="1" x14ac:dyDescent="0.25">
      <c r="B19" s="125" t="s">
        <v>8</v>
      </c>
      <c r="C19" s="126"/>
      <c r="D19" s="126"/>
      <c r="E19" s="126"/>
      <c r="F19" s="127"/>
      <c r="G19" s="111" t="s">
        <v>240</v>
      </c>
      <c r="H19" s="2" t="s">
        <v>64</v>
      </c>
      <c r="I19" s="2" t="s">
        <v>239</v>
      </c>
      <c r="J19" s="2" t="s">
        <v>30</v>
      </c>
      <c r="K19" s="2" t="s">
        <v>62</v>
      </c>
    </row>
    <row r="20" spans="1:48" x14ac:dyDescent="0.25">
      <c r="B20" s="128">
        <v>1</v>
      </c>
      <c r="C20" s="129"/>
      <c r="D20" s="129"/>
      <c r="E20" s="129"/>
      <c r="F20" s="130"/>
      <c r="G20" s="38">
        <v>2</v>
      </c>
      <c r="H20" s="36">
        <v>3</v>
      </c>
      <c r="I20" s="36">
        <v>4</v>
      </c>
      <c r="J20" s="36" t="s">
        <v>125</v>
      </c>
      <c r="K20" s="36" t="s">
        <v>185</v>
      </c>
    </row>
    <row r="21" spans="1:48" ht="15.75" customHeight="1" x14ac:dyDescent="0.25">
      <c r="B21" s="115" t="s">
        <v>35</v>
      </c>
      <c r="C21" s="116"/>
      <c r="D21" s="116"/>
      <c r="E21" s="116"/>
      <c r="F21" s="117"/>
      <c r="G21" s="98"/>
      <c r="H21" s="21"/>
      <c r="I21" s="101"/>
      <c r="J21" s="101"/>
      <c r="K21" s="101"/>
    </row>
    <row r="22" spans="1:48" ht="15" customHeight="1" x14ac:dyDescent="0.25">
      <c r="B22" s="115" t="s">
        <v>36</v>
      </c>
      <c r="C22" s="116"/>
      <c r="D22" s="116"/>
      <c r="E22" s="116"/>
      <c r="F22" s="117"/>
      <c r="G22" s="96"/>
      <c r="H22" s="21"/>
      <c r="I22" s="101"/>
      <c r="J22" s="101"/>
      <c r="K22" s="101"/>
    </row>
    <row r="23" spans="1:48" ht="15" customHeight="1" x14ac:dyDescent="0.25">
      <c r="B23" s="118" t="s">
        <v>63</v>
      </c>
      <c r="C23" s="119"/>
      <c r="D23" s="119"/>
      <c r="E23" s="119"/>
      <c r="F23" s="120"/>
      <c r="G23" s="99"/>
      <c r="H23" s="39"/>
      <c r="I23" s="105"/>
      <c r="J23" s="105"/>
      <c r="K23" s="105"/>
    </row>
    <row r="24" spans="1:48" s="40" customFormat="1" ht="15" customHeight="1" x14ac:dyDescent="0.25">
      <c r="A24"/>
      <c r="B24" s="115" t="s">
        <v>17</v>
      </c>
      <c r="C24" s="116"/>
      <c r="D24" s="116"/>
      <c r="E24" s="116"/>
      <c r="F24" s="117"/>
      <c r="G24" s="96">
        <v>390780</v>
      </c>
      <c r="H24" s="21">
        <v>237660</v>
      </c>
      <c r="I24" s="101">
        <v>242378.56</v>
      </c>
      <c r="J24" s="101">
        <f>I24/G24*100</f>
        <v>62.024300117713295</v>
      </c>
      <c r="K24" s="101">
        <f>I24/H24*100</f>
        <v>101.98542455608852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40" customFormat="1" ht="15" customHeight="1" x14ac:dyDescent="0.25">
      <c r="A25"/>
      <c r="B25" s="115" t="s">
        <v>71</v>
      </c>
      <c r="C25" s="116"/>
      <c r="D25" s="116"/>
      <c r="E25" s="116"/>
      <c r="F25" s="117"/>
      <c r="G25" s="96">
        <v>260716</v>
      </c>
      <c r="H25" s="21"/>
      <c r="I25" s="101"/>
      <c r="J25" s="101">
        <f>I25/G25*100</f>
        <v>0</v>
      </c>
      <c r="K25" s="101" t="s">
        <v>117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50" customFormat="1" ht="15" customHeight="1" x14ac:dyDescent="0.25">
      <c r="A26" s="48"/>
      <c r="B26" s="118" t="s">
        <v>73</v>
      </c>
      <c r="C26" s="119"/>
      <c r="D26" s="119"/>
      <c r="E26" s="119"/>
      <c r="F26" s="120"/>
      <c r="G26" s="99"/>
      <c r="H26" s="49"/>
      <c r="I26" s="106"/>
      <c r="J26" s="106"/>
      <c r="K26" s="106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</row>
    <row r="27" spans="1:48" ht="15.75" customHeight="1" x14ac:dyDescent="0.25">
      <c r="B27" s="121" t="s">
        <v>74</v>
      </c>
      <c r="C27" s="122"/>
      <c r="D27" s="122"/>
      <c r="E27" s="122"/>
      <c r="F27" s="123"/>
      <c r="G27" s="100"/>
      <c r="H27" s="41"/>
      <c r="I27" s="107"/>
      <c r="J27" s="107"/>
      <c r="K27" s="107"/>
    </row>
    <row r="28" spans="1:48" ht="32.25" customHeight="1" x14ac:dyDescent="0.25"/>
    <row r="29" spans="1:48" ht="23.25" customHeight="1" x14ac:dyDescent="0.25">
      <c r="B29" s="114" t="s">
        <v>246</v>
      </c>
      <c r="C29" s="114"/>
      <c r="D29" s="114"/>
      <c r="E29" s="114"/>
      <c r="F29" s="114"/>
      <c r="G29" s="34"/>
      <c r="H29" s="34"/>
      <c r="I29" s="34"/>
      <c r="J29" s="34"/>
      <c r="K29" s="34"/>
    </row>
    <row r="31" spans="1:48" ht="15.75" x14ac:dyDescent="0.25">
      <c r="G31" s="113"/>
      <c r="H31" s="112" t="s">
        <v>244</v>
      </c>
      <c r="I31" s="112"/>
    </row>
    <row r="32" spans="1:48" ht="26.25" customHeight="1" x14ac:dyDescent="0.25">
      <c r="G32" s="113"/>
      <c r="H32" s="112"/>
      <c r="I32" s="112"/>
    </row>
    <row r="33" spans="7:9" ht="15.75" x14ac:dyDescent="0.25">
      <c r="G33" s="113"/>
      <c r="H33" s="112"/>
      <c r="I33" s="112"/>
    </row>
    <row r="34" spans="7:9" ht="15.75" x14ac:dyDescent="0.25">
      <c r="G34" s="113"/>
      <c r="H34" s="112" t="s">
        <v>245</v>
      </c>
      <c r="I34" s="112"/>
    </row>
    <row r="35" spans="7:9" ht="15.75" x14ac:dyDescent="0.25">
      <c r="G35" s="113"/>
      <c r="H35" s="112"/>
      <c r="I35" s="112"/>
    </row>
    <row r="36" spans="7:9" x14ac:dyDescent="0.25">
      <c r="G36" s="113"/>
      <c r="H36" s="113"/>
      <c r="I36" s="113"/>
    </row>
  </sheetData>
  <mergeCells count="23">
    <mergeCell ref="B23:F23"/>
    <mergeCell ref="B16:F16"/>
    <mergeCell ref="B1:K1"/>
    <mergeCell ref="B3:K3"/>
    <mergeCell ref="B5:K5"/>
    <mergeCell ref="B7:F7"/>
    <mergeCell ref="B8:F8"/>
    <mergeCell ref="B9:F9"/>
    <mergeCell ref="B10:F10"/>
    <mergeCell ref="B11:F11"/>
    <mergeCell ref="B12:F12"/>
    <mergeCell ref="B13:F13"/>
    <mergeCell ref="B14:F14"/>
    <mergeCell ref="B18:F18"/>
    <mergeCell ref="B19:F19"/>
    <mergeCell ref="B20:F20"/>
    <mergeCell ref="B21:F21"/>
    <mergeCell ref="B22:F22"/>
    <mergeCell ref="B29:F29"/>
    <mergeCell ref="B24:F24"/>
    <mergeCell ref="B25:F25"/>
    <mergeCell ref="B26:F26"/>
    <mergeCell ref="B27:F27"/>
  </mergeCells>
  <pageMargins left="0.7" right="0.7" top="0.75" bottom="0.75" header="0.3" footer="0.3"/>
  <pageSetup paperSize="9" scale="7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3"/>
  <sheetViews>
    <sheetView workbookViewId="0">
      <selection activeCell="G29" sqref="G29"/>
    </sheetView>
  </sheetViews>
  <sheetFormatPr defaultRowHeight="15" x14ac:dyDescent="0.25"/>
  <cols>
    <col min="2" max="2" width="5.28515625" customWidth="1"/>
    <col min="3" max="3" width="2.5703125" customWidth="1"/>
    <col min="4" max="4" width="4.140625" customWidth="1"/>
    <col min="5" max="5" width="39" customWidth="1"/>
    <col min="6" max="7" width="24.28515625" customWidth="1"/>
    <col min="8" max="8" width="15.7109375" customWidth="1"/>
    <col min="9" max="9" width="24.28515625" customWidth="1"/>
  </cols>
  <sheetData>
    <row r="1" spans="2:9" ht="18" x14ac:dyDescent="0.25">
      <c r="B1" s="3"/>
      <c r="C1" s="3"/>
      <c r="D1" s="3"/>
      <c r="E1" s="3"/>
      <c r="F1" s="3"/>
      <c r="G1" s="3"/>
      <c r="H1" s="4"/>
      <c r="I1" s="4"/>
    </row>
    <row r="2" spans="2:9" ht="18" customHeight="1" x14ac:dyDescent="0.25">
      <c r="B2" s="134" t="s">
        <v>11</v>
      </c>
      <c r="C2" s="134"/>
      <c r="D2" s="134"/>
      <c r="E2" s="134"/>
      <c r="F2" s="134"/>
      <c r="G2" s="134"/>
      <c r="H2" s="134"/>
      <c r="I2" s="29"/>
    </row>
    <row r="3" spans="2:9" ht="18" x14ac:dyDescent="0.25">
      <c r="B3" s="3"/>
      <c r="C3" s="3"/>
      <c r="D3" s="3"/>
      <c r="E3" s="3"/>
      <c r="F3" s="3"/>
      <c r="G3" s="3"/>
      <c r="H3" s="4"/>
      <c r="I3" s="4"/>
    </row>
    <row r="4" spans="2:9" ht="15.75" x14ac:dyDescent="0.25">
      <c r="B4" s="169" t="s">
        <v>70</v>
      </c>
      <c r="C4" s="169"/>
      <c r="D4" s="169"/>
      <c r="E4" s="169"/>
      <c r="F4" s="169"/>
      <c r="G4" s="169"/>
      <c r="H4" s="169"/>
    </row>
    <row r="5" spans="2:9" ht="18" x14ac:dyDescent="0.25">
      <c r="B5" s="3"/>
      <c r="C5" s="3"/>
      <c r="D5" s="3"/>
      <c r="E5" s="3"/>
      <c r="F5" s="3"/>
      <c r="G5" s="3"/>
      <c r="H5" s="4"/>
    </row>
    <row r="6" spans="2:9" ht="25.5" x14ac:dyDescent="0.25">
      <c r="B6" s="150" t="s">
        <v>8</v>
      </c>
      <c r="C6" s="151"/>
      <c r="D6" s="151"/>
      <c r="E6" s="152"/>
      <c r="F6" s="39" t="s">
        <v>64</v>
      </c>
      <c r="G6" s="39" t="s">
        <v>144</v>
      </c>
      <c r="H6" s="39" t="s">
        <v>62</v>
      </c>
    </row>
    <row r="7" spans="2:9" s="45" customFormat="1" ht="11.25" x14ac:dyDescent="0.2">
      <c r="B7" s="153">
        <v>1</v>
      </c>
      <c r="C7" s="154"/>
      <c r="D7" s="154"/>
      <c r="E7" s="155"/>
      <c r="F7" s="42">
        <v>2</v>
      </c>
      <c r="G7" s="42">
        <v>3</v>
      </c>
      <c r="H7" s="42" t="s">
        <v>183</v>
      </c>
    </row>
    <row r="8" spans="2:9" ht="18" customHeight="1" x14ac:dyDescent="0.25">
      <c r="B8" s="166">
        <v>16947</v>
      </c>
      <c r="C8" s="167"/>
      <c r="D8" s="168"/>
      <c r="E8" s="54" t="s">
        <v>138</v>
      </c>
      <c r="F8" s="62"/>
      <c r="G8" s="8"/>
      <c r="H8" s="8"/>
    </row>
    <row r="9" spans="2:9" ht="18" customHeight="1" x14ac:dyDescent="0.25">
      <c r="B9" s="159" t="s">
        <v>139</v>
      </c>
      <c r="C9" s="160"/>
      <c r="D9" s="160"/>
      <c r="E9" s="161"/>
      <c r="F9" s="72">
        <f>SUM(F10:F13)</f>
        <v>237776.9</v>
      </c>
      <c r="G9" s="78">
        <f>SUM(G10:G13)</f>
        <v>169263.59</v>
      </c>
      <c r="H9" s="78">
        <f t="shared" ref="H9:H18" si="0">G9/F9*100</f>
        <v>71.185884751630624</v>
      </c>
    </row>
    <row r="10" spans="2:9" ht="18" customHeight="1" x14ac:dyDescent="0.25">
      <c r="B10" s="170">
        <v>1</v>
      </c>
      <c r="C10" s="171"/>
      <c r="D10" s="172"/>
      <c r="E10" s="51" t="s">
        <v>140</v>
      </c>
      <c r="F10" s="73">
        <v>89060.9</v>
      </c>
      <c r="G10" s="80">
        <v>89060.9</v>
      </c>
      <c r="H10" s="80">
        <f t="shared" si="0"/>
        <v>100</v>
      </c>
    </row>
    <row r="11" spans="2:9" ht="18" customHeight="1" x14ac:dyDescent="0.25">
      <c r="B11" s="170">
        <v>3</v>
      </c>
      <c r="C11" s="171"/>
      <c r="D11" s="172"/>
      <c r="E11" s="51" t="s">
        <v>141</v>
      </c>
      <c r="F11" s="73">
        <v>4500</v>
      </c>
      <c r="G11" s="91">
        <v>7677.22</v>
      </c>
      <c r="H11" s="80">
        <f t="shared" si="0"/>
        <v>170.60488888888889</v>
      </c>
    </row>
    <row r="12" spans="2:9" ht="18" customHeight="1" x14ac:dyDescent="0.25">
      <c r="B12" s="170">
        <v>4</v>
      </c>
      <c r="C12" s="171"/>
      <c r="D12" s="172"/>
      <c r="E12" s="47" t="s">
        <v>142</v>
      </c>
      <c r="F12" s="73">
        <v>92000</v>
      </c>
      <c r="G12" s="91">
        <v>20309.47</v>
      </c>
      <c r="H12" s="80">
        <f t="shared" si="0"/>
        <v>22.075510869565218</v>
      </c>
    </row>
    <row r="13" spans="2:9" ht="18" customHeight="1" x14ac:dyDescent="0.25">
      <c r="B13" s="173">
        <v>9</v>
      </c>
      <c r="C13" s="173"/>
      <c r="D13" s="173"/>
      <c r="E13" s="47" t="s">
        <v>233</v>
      </c>
      <c r="F13" s="73">
        <v>52216</v>
      </c>
      <c r="G13" s="91">
        <v>52216</v>
      </c>
      <c r="H13" s="80">
        <f t="shared" si="0"/>
        <v>100</v>
      </c>
    </row>
    <row r="14" spans="2:9" s="56" customFormat="1" ht="30" customHeight="1" x14ac:dyDescent="0.25">
      <c r="B14" s="166" t="s">
        <v>145</v>
      </c>
      <c r="C14" s="167"/>
      <c r="D14" s="168"/>
      <c r="E14" s="55" t="s">
        <v>146</v>
      </c>
      <c r="F14" s="72">
        <f>F15</f>
        <v>89060.9</v>
      </c>
      <c r="G14" s="90">
        <f>G15</f>
        <v>89060.9</v>
      </c>
      <c r="H14" s="78">
        <f t="shared" si="0"/>
        <v>100</v>
      </c>
    </row>
    <row r="15" spans="2:9" s="56" customFormat="1" ht="30" customHeight="1" x14ac:dyDescent="0.25">
      <c r="B15" s="158" t="s">
        <v>147</v>
      </c>
      <c r="C15" s="158"/>
      <c r="D15" s="158"/>
      <c r="E15" s="54" t="s">
        <v>148</v>
      </c>
      <c r="F15" s="72">
        <f>F16</f>
        <v>89060.9</v>
      </c>
      <c r="G15" s="90">
        <f>G16</f>
        <v>89060.9</v>
      </c>
      <c r="H15" s="78">
        <f t="shared" si="0"/>
        <v>100</v>
      </c>
    </row>
    <row r="16" spans="2:9" s="56" customFormat="1" ht="18" customHeight="1" x14ac:dyDescent="0.25">
      <c r="B16" s="166">
        <v>13</v>
      </c>
      <c r="C16" s="167"/>
      <c r="D16" s="168"/>
      <c r="E16" s="54" t="s">
        <v>124</v>
      </c>
      <c r="F16" s="72">
        <v>89060.9</v>
      </c>
      <c r="G16" s="78">
        <v>89060.9</v>
      </c>
      <c r="H16" s="78">
        <f t="shared" si="0"/>
        <v>100</v>
      </c>
    </row>
    <row r="17" spans="2:8" ht="18" customHeight="1" x14ac:dyDescent="0.25">
      <c r="B17" s="159">
        <v>32</v>
      </c>
      <c r="C17" s="160"/>
      <c r="D17" s="161"/>
      <c r="E17" s="54" t="s">
        <v>13</v>
      </c>
      <c r="F17" s="72">
        <f>SUM(F18:F25)</f>
        <v>89060.900000000009</v>
      </c>
      <c r="G17" s="78">
        <f>SUM(G18:G25)</f>
        <v>89060.900000000009</v>
      </c>
      <c r="H17" s="78">
        <f t="shared" si="0"/>
        <v>100</v>
      </c>
    </row>
    <row r="18" spans="2:8" ht="18" customHeight="1" x14ac:dyDescent="0.25">
      <c r="B18" s="162">
        <v>3221</v>
      </c>
      <c r="C18" s="162"/>
      <c r="D18" s="162"/>
      <c r="E18" s="47" t="s">
        <v>89</v>
      </c>
      <c r="F18" s="73">
        <f>200+3980</f>
        <v>4180</v>
      </c>
      <c r="G18" s="80">
        <v>4180</v>
      </c>
      <c r="H18" s="80">
        <f t="shared" si="0"/>
        <v>100</v>
      </c>
    </row>
    <row r="19" spans="2:8" ht="18" customHeight="1" x14ac:dyDescent="0.25">
      <c r="B19" s="162">
        <v>3222</v>
      </c>
      <c r="C19" s="162"/>
      <c r="D19" s="162"/>
      <c r="E19" s="47" t="s">
        <v>90</v>
      </c>
      <c r="F19" s="73">
        <v>40841.800000000003</v>
      </c>
      <c r="G19" s="80">
        <v>40841.800000000003</v>
      </c>
      <c r="H19" s="80">
        <f t="shared" ref="H19:H25" si="1">G19/F19*100</f>
        <v>100</v>
      </c>
    </row>
    <row r="20" spans="2:8" ht="18" customHeight="1" x14ac:dyDescent="0.25">
      <c r="B20" s="162">
        <v>3223</v>
      </c>
      <c r="C20" s="162"/>
      <c r="D20" s="162"/>
      <c r="E20" s="47" t="s">
        <v>91</v>
      </c>
      <c r="F20" s="73">
        <f>8967.31+23380.24</f>
        <v>32347.550000000003</v>
      </c>
      <c r="G20" s="80">
        <v>32347.55</v>
      </c>
      <c r="H20" s="80">
        <f t="shared" si="1"/>
        <v>99.999999999999986</v>
      </c>
    </row>
    <row r="21" spans="2:8" ht="30" customHeight="1" x14ac:dyDescent="0.25">
      <c r="B21" s="163">
        <v>3224</v>
      </c>
      <c r="C21" s="164"/>
      <c r="D21" s="165"/>
      <c r="E21" s="47" t="s">
        <v>92</v>
      </c>
      <c r="F21" s="73">
        <v>546.33000000000004</v>
      </c>
      <c r="G21" s="80">
        <v>546.33000000000004</v>
      </c>
      <c r="H21" s="80">
        <f t="shared" si="1"/>
        <v>100</v>
      </c>
    </row>
    <row r="22" spans="2:8" ht="18" customHeight="1" x14ac:dyDescent="0.25">
      <c r="B22" s="163">
        <v>3231</v>
      </c>
      <c r="C22" s="164"/>
      <c r="D22" s="165"/>
      <c r="E22" s="47" t="s">
        <v>95</v>
      </c>
      <c r="F22" s="73">
        <v>600</v>
      </c>
      <c r="G22" s="80">
        <v>600</v>
      </c>
      <c r="H22" s="80">
        <f t="shared" si="1"/>
        <v>100</v>
      </c>
    </row>
    <row r="23" spans="2:8" ht="18" customHeight="1" x14ac:dyDescent="0.25">
      <c r="B23" s="163">
        <v>3232</v>
      </c>
      <c r="C23" s="164"/>
      <c r="D23" s="165"/>
      <c r="E23" s="47" t="s">
        <v>96</v>
      </c>
      <c r="F23" s="73">
        <v>2150</v>
      </c>
      <c r="G23" s="80">
        <v>2150</v>
      </c>
      <c r="H23" s="80">
        <f t="shared" si="1"/>
        <v>100</v>
      </c>
    </row>
    <row r="24" spans="2:8" ht="18" customHeight="1" x14ac:dyDescent="0.25">
      <c r="B24" s="163">
        <v>3234</v>
      </c>
      <c r="C24" s="164"/>
      <c r="D24" s="165"/>
      <c r="E24" s="47" t="s">
        <v>98</v>
      </c>
      <c r="F24" s="73">
        <v>8351.42</v>
      </c>
      <c r="G24" s="80">
        <v>8351.42</v>
      </c>
      <c r="H24" s="80">
        <f t="shared" si="1"/>
        <v>100</v>
      </c>
    </row>
    <row r="25" spans="2:8" ht="18" customHeight="1" x14ac:dyDescent="0.25">
      <c r="B25" s="163">
        <v>3236</v>
      </c>
      <c r="C25" s="164"/>
      <c r="D25" s="165"/>
      <c r="E25" s="47" t="s">
        <v>99</v>
      </c>
      <c r="F25" s="73">
        <v>43.8</v>
      </c>
      <c r="G25" s="80">
        <v>43.8</v>
      </c>
      <c r="H25" s="80">
        <f t="shared" si="1"/>
        <v>100</v>
      </c>
    </row>
    <row r="26" spans="2:8" s="56" customFormat="1" ht="40.15" customHeight="1" x14ac:dyDescent="0.25">
      <c r="B26" s="166" t="s">
        <v>149</v>
      </c>
      <c r="C26" s="167"/>
      <c r="D26" s="168"/>
      <c r="E26" s="55" t="s">
        <v>150</v>
      </c>
      <c r="F26" s="72">
        <f>F27</f>
        <v>148716</v>
      </c>
      <c r="G26" s="78">
        <f>G27</f>
        <v>27986.690000000002</v>
      </c>
      <c r="H26" s="78">
        <f>G26/F26*100</f>
        <v>18.818882971569977</v>
      </c>
    </row>
    <row r="27" spans="2:8" s="56" customFormat="1" ht="30" customHeight="1" x14ac:dyDescent="0.25">
      <c r="B27" s="158" t="s">
        <v>151</v>
      </c>
      <c r="C27" s="158"/>
      <c r="D27" s="158"/>
      <c r="E27" s="54" t="s">
        <v>152</v>
      </c>
      <c r="F27" s="72">
        <f>F28+F33+F60</f>
        <v>148716</v>
      </c>
      <c r="G27" s="78">
        <f>G28+G33</f>
        <v>27986.690000000002</v>
      </c>
      <c r="H27" s="78">
        <f>G27/F27*100</f>
        <v>18.818882971569977</v>
      </c>
    </row>
    <row r="28" spans="2:8" s="56" customFormat="1" ht="18" customHeight="1" x14ac:dyDescent="0.25">
      <c r="B28" s="166">
        <v>31</v>
      </c>
      <c r="C28" s="167"/>
      <c r="D28" s="168"/>
      <c r="E28" s="54" t="s">
        <v>141</v>
      </c>
      <c r="F28" s="72">
        <f>F29</f>
        <v>4500</v>
      </c>
      <c r="G28" s="90">
        <f>G29</f>
        <v>7677.22</v>
      </c>
      <c r="H28" s="78">
        <f>G28/F28*100</f>
        <v>170.60488888888889</v>
      </c>
    </row>
    <row r="29" spans="2:8" ht="18" customHeight="1" x14ac:dyDescent="0.25">
      <c r="B29" s="159">
        <v>32</v>
      </c>
      <c r="C29" s="160"/>
      <c r="D29" s="161"/>
      <c r="E29" s="54" t="s">
        <v>13</v>
      </c>
      <c r="F29" s="72">
        <f>SUM(F30:F32)</f>
        <v>4500</v>
      </c>
      <c r="G29" s="90">
        <f>SUM(G30:G32)</f>
        <v>7677.22</v>
      </c>
      <c r="H29" s="78">
        <f>G29/F29*100</f>
        <v>170.60488888888889</v>
      </c>
    </row>
    <row r="30" spans="2:8" ht="18" customHeight="1" x14ac:dyDescent="0.25">
      <c r="B30" s="162">
        <v>3222</v>
      </c>
      <c r="C30" s="162"/>
      <c r="D30" s="162"/>
      <c r="E30" s="47" t="s">
        <v>90</v>
      </c>
      <c r="F30" s="73">
        <v>1590</v>
      </c>
      <c r="G30" s="80">
        <v>6637.59</v>
      </c>
      <c r="H30" s="80">
        <f t="shared" ref="H30:H32" si="2">G30/F30*100</f>
        <v>417.45849056603771</v>
      </c>
    </row>
    <row r="31" spans="2:8" ht="18" customHeight="1" x14ac:dyDescent="0.25">
      <c r="B31" s="162">
        <v>3225</v>
      </c>
      <c r="C31" s="162"/>
      <c r="D31" s="162"/>
      <c r="E31" s="47" t="s">
        <v>93</v>
      </c>
      <c r="F31" s="73">
        <v>1990</v>
      </c>
      <c r="G31" s="80">
        <v>1039.6300000000001</v>
      </c>
      <c r="H31" s="80">
        <f t="shared" si="2"/>
        <v>52.242713567839203</v>
      </c>
    </row>
    <row r="32" spans="2:8" ht="18" customHeight="1" x14ac:dyDescent="0.25">
      <c r="B32" s="162">
        <v>3293</v>
      </c>
      <c r="C32" s="162"/>
      <c r="D32" s="162"/>
      <c r="E32" s="47" t="s">
        <v>103</v>
      </c>
      <c r="F32" s="73">
        <v>920</v>
      </c>
      <c r="G32" s="80">
        <v>0</v>
      </c>
      <c r="H32" s="80">
        <f t="shared" si="2"/>
        <v>0</v>
      </c>
    </row>
    <row r="33" spans="2:8" s="56" customFormat="1" ht="18" customHeight="1" x14ac:dyDescent="0.25">
      <c r="B33" s="166">
        <v>43</v>
      </c>
      <c r="C33" s="167"/>
      <c r="D33" s="168"/>
      <c r="E33" s="54" t="s">
        <v>153</v>
      </c>
      <c r="F33" s="72">
        <f>F34+F57+F55</f>
        <v>92000</v>
      </c>
      <c r="G33" s="78">
        <f>G34+G57+G55</f>
        <v>20309.47</v>
      </c>
      <c r="H33" s="78">
        <f>G33/F33*100</f>
        <v>22.075510869565218</v>
      </c>
    </row>
    <row r="34" spans="2:8" ht="18" customHeight="1" x14ac:dyDescent="0.25">
      <c r="B34" s="159">
        <v>32</v>
      </c>
      <c r="C34" s="160"/>
      <c r="D34" s="161"/>
      <c r="E34" s="54" t="s">
        <v>13</v>
      </c>
      <c r="F34" s="72">
        <f>SUM(F35:F54)</f>
        <v>86290</v>
      </c>
      <c r="G34" s="78">
        <f>SUM(G35:G54)</f>
        <v>16536.43</v>
      </c>
      <c r="H34" s="78">
        <f>G34/F34*100</f>
        <v>19.163784911345463</v>
      </c>
    </row>
    <row r="35" spans="2:8" ht="18" customHeight="1" x14ac:dyDescent="0.25">
      <c r="B35" s="162">
        <v>3211</v>
      </c>
      <c r="C35" s="162"/>
      <c r="D35" s="162"/>
      <c r="E35" s="47" t="s">
        <v>44</v>
      </c>
      <c r="F35" s="73">
        <v>3990</v>
      </c>
      <c r="G35" s="91">
        <v>1454.32</v>
      </c>
      <c r="H35" s="80">
        <f t="shared" ref="H35:H59" si="3">G35/F35*100</f>
        <v>36.449122807017545</v>
      </c>
    </row>
    <row r="36" spans="2:8" ht="18" customHeight="1" x14ac:dyDescent="0.25">
      <c r="B36" s="162">
        <v>3213</v>
      </c>
      <c r="C36" s="162"/>
      <c r="D36" s="162"/>
      <c r="E36" s="47" t="s">
        <v>88</v>
      </c>
      <c r="F36" s="73">
        <v>2660</v>
      </c>
      <c r="G36" s="91">
        <v>489.04</v>
      </c>
      <c r="H36" s="80">
        <f t="shared" si="3"/>
        <v>18.384962406015038</v>
      </c>
    </row>
    <row r="37" spans="2:8" ht="18" customHeight="1" x14ac:dyDescent="0.25">
      <c r="B37" s="162">
        <v>3221</v>
      </c>
      <c r="C37" s="162"/>
      <c r="D37" s="162"/>
      <c r="E37" s="47" t="s">
        <v>89</v>
      </c>
      <c r="F37" s="73">
        <f>3500+6650-5000</f>
        <v>5150</v>
      </c>
      <c r="G37" s="91">
        <f>3373.12+1719-5000</f>
        <v>92.119999999999891</v>
      </c>
      <c r="H37" s="80">
        <f t="shared" si="3"/>
        <v>1.7887378640776677</v>
      </c>
    </row>
    <row r="38" spans="2:8" ht="18" customHeight="1" x14ac:dyDescent="0.25">
      <c r="B38" s="162">
        <v>3222</v>
      </c>
      <c r="C38" s="162"/>
      <c r="D38" s="162"/>
      <c r="E38" s="47" t="s">
        <v>90</v>
      </c>
      <c r="F38" s="73">
        <f>44730-21500</f>
        <v>23230</v>
      </c>
      <c r="G38" s="91">
        <f>26339.12-21500</f>
        <v>4839.119999999999</v>
      </c>
      <c r="H38" s="80">
        <f t="shared" si="3"/>
        <v>20.831338786052513</v>
      </c>
    </row>
    <row r="39" spans="2:8" ht="18" customHeight="1" x14ac:dyDescent="0.25">
      <c r="B39" s="162">
        <v>3223</v>
      </c>
      <c r="C39" s="162"/>
      <c r="D39" s="162"/>
      <c r="E39" s="47" t="s">
        <v>91</v>
      </c>
      <c r="F39" s="73">
        <f>5276+29430+3990-12000</f>
        <v>26696</v>
      </c>
      <c r="G39" s="91">
        <f>1207.17+12638.99+768.55-12000</f>
        <v>2614.7099999999991</v>
      </c>
      <c r="H39" s="80">
        <f t="shared" si="3"/>
        <v>9.7943886724602898</v>
      </c>
    </row>
    <row r="40" spans="2:8" ht="30" customHeight="1" x14ac:dyDescent="0.25">
      <c r="B40" s="163">
        <v>3224</v>
      </c>
      <c r="C40" s="164"/>
      <c r="D40" s="165"/>
      <c r="E40" s="47" t="s">
        <v>92</v>
      </c>
      <c r="F40" s="73">
        <v>3990</v>
      </c>
      <c r="G40" s="91">
        <v>420.11</v>
      </c>
      <c r="H40" s="80">
        <f t="shared" si="3"/>
        <v>10.529072681704262</v>
      </c>
    </row>
    <row r="41" spans="2:8" ht="18" customHeight="1" x14ac:dyDescent="0.25">
      <c r="B41" s="163">
        <v>3225</v>
      </c>
      <c r="C41" s="164"/>
      <c r="D41" s="165"/>
      <c r="E41" s="47" t="s">
        <v>93</v>
      </c>
      <c r="F41" s="73">
        <v>660</v>
      </c>
      <c r="G41" s="91">
        <v>0</v>
      </c>
      <c r="H41" s="80">
        <f t="shared" si="3"/>
        <v>0</v>
      </c>
    </row>
    <row r="42" spans="2:8" ht="18" customHeight="1" x14ac:dyDescent="0.25">
      <c r="B42" s="163">
        <v>3227</v>
      </c>
      <c r="C42" s="164"/>
      <c r="D42" s="165"/>
      <c r="E42" s="47" t="s">
        <v>94</v>
      </c>
      <c r="F42" s="73">
        <v>1990</v>
      </c>
      <c r="G42" s="91">
        <v>570.72</v>
      </c>
      <c r="H42" s="80">
        <f t="shared" si="3"/>
        <v>28.679396984924626</v>
      </c>
    </row>
    <row r="43" spans="2:8" ht="18" customHeight="1" x14ac:dyDescent="0.25">
      <c r="B43" s="163">
        <v>3231</v>
      </c>
      <c r="C43" s="164"/>
      <c r="D43" s="165"/>
      <c r="E43" s="47" t="s">
        <v>95</v>
      </c>
      <c r="F43" s="73">
        <f>2500+1600-2000</f>
        <v>2100</v>
      </c>
      <c r="G43" s="91">
        <f>1889.91+765.06-2000</f>
        <v>654.97000000000025</v>
      </c>
      <c r="H43" s="80">
        <f t="shared" si="3"/>
        <v>31.189047619047631</v>
      </c>
    </row>
    <row r="44" spans="2:8" ht="18" customHeight="1" x14ac:dyDescent="0.25">
      <c r="B44" s="163">
        <v>3232</v>
      </c>
      <c r="C44" s="164"/>
      <c r="D44" s="165"/>
      <c r="E44" s="47" t="s">
        <v>96</v>
      </c>
      <c r="F44" s="73">
        <f>5310-3500</f>
        <v>1810</v>
      </c>
      <c r="G44" s="91">
        <f>4050.82-G66</f>
        <v>550.82000000000016</v>
      </c>
      <c r="H44" s="80">
        <f t="shared" si="3"/>
        <v>30.432044198895035</v>
      </c>
    </row>
    <row r="45" spans="2:8" ht="18" customHeight="1" x14ac:dyDescent="0.25">
      <c r="B45" s="163">
        <v>3233</v>
      </c>
      <c r="C45" s="164"/>
      <c r="D45" s="165"/>
      <c r="E45" s="47" t="s">
        <v>97</v>
      </c>
      <c r="F45" s="73">
        <v>390</v>
      </c>
      <c r="G45" s="91">
        <v>0</v>
      </c>
      <c r="H45" s="80">
        <f t="shared" si="3"/>
        <v>0</v>
      </c>
    </row>
    <row r="46" spans="2:8" ht="18" customHeight="1" x14ac:dyDescent="0.25">
      <c r="B46" s="163">
        <v>3234</v>
      </c>
      <c r="C46" s="164"/>
      <c r="D46" s="165"/>
      <c r="E46" s="47" t="s">
        <v>98</v>
      </c>
      <c r="F46" s="73">
        <f>2660-1500</f>
        <v>1160</v>
      </c>
      <c r="G46" s="91">
        <f>1837.89-1500</f>
        <v>337.8900000000001</v>
      </c>
      <c r="H46" s="80">
        <f t="shared" si="3"/>
        <v>29.12844827586208</v>
      </c>
    </row>
    <row r="47" spans="2:8" ht="18" customHeight="1" x14ac:dyDescent="0.25">
      <c r="B47" s="163">
        <v>3236</v>
      </c>
      <c r="C47" s="164"/>
      <c r="D47" s="165"/>
      <c r="E47" s="47" t="s">
        <v>99</v>
      </c>
      <c r="F47" s="73">
        <f>800+800-500</f>
        <v>1100</v>
      </c>
      <c r="G47" s="91">
        <f>641.26-500</f>
        <v>141.26</v>
      </c>
      <c r="H47" s="80">
        <f t="shared" si="3"/>
        <v>12.841818181818182</v>
      </c>
    </row>
    <row r="48" spans="2:8" ht="18" customHeight="1" x14ac:dyDescent="0.25">
      <c r="B48" s="163">
        <v>3238</v>
      </c>
      <c r="C48" s="164"/>
      <c r="D48" s="165"/>
      <c r="E48" s="47" t="s">
        <v>100</v>
      </c>
      <c r="F48" s="73">
        <f>3500-2000</f>
        <v>1500</v>
      </c>
      <c r="G48" s="91">
        <f>2871.96-2000</f>
        <v>871.96</v>
      </c>
      <c r="H48" s="80">
        <f t="shared" si="3"/>
        <v>58.130666666666663</v>
      </c>
    </row>
    <row r="49" spans="2:8" ht="18" customHeight="1" x14ac:dyDescent="0.25">
      <c r="B49" s="163">
        <v>3239</v>
      </c>
      <c r="C49" s="164"/>
      <c r="D49" s="165"/>
      <c r="E49" s="47" t="s">
        <v>101</v>
      </c>
      <c r="F49" s="73">
        <f>3000-1000</f>
        <v>2000</v>
      </c>
      <c r="G49" s="91">
        <f>1342.28-1000</f>
        <v>342.28</v>
      </c>
      <c r="H49" s="80">
        <f t="shared" si="3"/>
        <v>17.113999999999997</v>
      </c>
    </row>
    <row r="50" spans="2:8" ht="18" customHeight="1" x14ac:dyDescent="0.25">
      <c r="B50" s="163">
        <v>3292</v>
      </c>
      <c r="C50" s="164"/>
      <c r="D50" s="165"/>
      <c r="E50" s="47" t="s">
        <v>102</v>
      </c>
      <c r="F50" s="73">
        <f>5500-3000</f>
        <v>2500</v>
      </c>
      <c r="G50" s="91">
        <f>5229.89-G71</f>
        <v>2229.8900000000003</v>
      </c>
      <c r="H50" s="80">
        <f t="shared" si="3"/>
        <v>89.195600000000013</v>
      </c>
    </row>
    <row r="51" spans="2:8" ht="18" customHeight="1" x14ac:dyDescent="0.25">
      <c r="B51" s="163">
        <v>3293</v>
      </c>
      <c r="C51" s="164"/>
      <c r="D51" s="165"/>
      <c r="E51" s="47" t="s">
        <v>103</v>
      </c>
      <c r="F51" s="73">
        <v>3500</v>
      </c>
      <c r="G51" s="91">
        <v>525.98</v>
      </c>
      <c r="H51" s="80">
        <f t="shared" si="3"/>
        <v>15.028</v>
      </c>
    </row>
    <row r="52" spans="2:8" ht="18" customHeight="1" x14ac:dyDescent="0.25">
      <c r="B52" s="163">
        <v>3294</v>
      </c>
      <c r="C52" s="164"/>
      <c r="D52" s="165"/>
      <c r="E52" s="47" t="s">
        <v>206</v>
      </c>
      <c r="F52" s="73">
        <v>130</v>
      </c>
      <c r="G52" s="91">
        <v>89.27</v>
      </c>
      <c r="H52" s="80">
        <f t="shared" si="3"/>
        <v>68.669230769230765</v>
      </c>
    </row>
    <row r="53" spans="2:8" ht="18" customHeight="1" x14ac:dyDescent="0.25">
      <c r="B53" s="163">
        <v>3295</v>
      </c>
      <c r="C53" s="164"/>
      <c r="D53" s="165"/>
      <c r="E53" s="47" t="s">
        <v>104</v>
      </c>
      <c r="F53" s="73">
        <v>400</v>
      </c>
      <c r="G53" s="92"/>
      <c r="H53" s="80">
        <f t="shared" si="3"/>
        <v>0</v>
      </c>
    </row>
    <row r="54" spans="2:8" ht="18" customHeight="1" x14ac:dyDescent="0.25">
      <c r="B54" s="163">
        <v>3299</v>
      </c>
      <c r="C54" s="164"/>
      <c r="D54" s="165"/>
      <c r="E54" s="47" t="s">
        <v>105</v>
      </c>
      <c r="F54" s="73">
        <f>1550-216</f>
        <v>1334</v>
      </c>
      <c r="G54" s="91">
        <f>527.97-216</f>
        <v>311.97000000000003</v>
      </c>
      <c r="H54" s="80">
        <f t="shared" si="3"/>
        <v>23.386056971514243</v>
      </c>
    </row>
    <row r="55" spans="2:8" ht="18" customHeight="1" x14ac:dyDescent="0.25">
      <c r="B55" s="159">
        <v>34</v>
      </c>
      <c r="C55" s="160"/>
      <c r="D55" s="161"/>
      <c r="E55" s="67" t="s">
        <v>108</v>
      </c>
      <c r="F55" s="72">
        <f>F56</f>
        <v>1700</v>
      </c>
      <c r="G55" s="78">
        <f>G56</f>
        <v>753.55</v>
      </c>
      <c r="H55" s="78">
        <f>G55/F55*100</f>
        <v>44.326470588235289</v>
      </c>
    </row>
    <row r="56" spans="2:8" ht="18" customHeight="1" x14ac:dyDescent="0.25">
      <c r="B56" s="163">
        <v>3431</v>
      </c>
      <c r="C56" s="164"/>
      <c r="D56" s="165"/>
      <c r="E56" s="47" t="s">
        <v>110</v>
      </c>
      <c r="F56" s="73">
        <v>1700</v>
      </c>
      <c r="G56" s="91">
        <v>753.55</v>
      </c>
      <c r="H56" s="80">
        <f t="shared" si="3"/>
        <v>44.326470588235289</v>
      </c>
    </row>
    <row r="57" spans="2:8" ht="30" customHeight="1" x14ac:dyDescent="0.25">
      <c r="B57" s="159">
        <v>42</v>
      </c>
      <c r="C57" s="160"/>
      <c r="D57" s="161"/>
      <c r="E57" s="54" t="s">
        <v>111</v>
      </c>
      <c r="F57" s="72">
        <f>SUM(F58:F59)</f>
        <v>4010</v>
      </c>
      <c r="G57" s="93">
        <f>SUM(G58:G59)</f>
        <v>3019.4900000000002</v>
      </c>
      <c r="H57" s="78">
        <f t="shared" si="3"/>
        <v>75.299002493765585</v>
      </c>
    </row>
    <row r="58" spans="2:8" ht="18" customHeight="1" x14ac:dyDescent="0.25">
      <c r="B58" s="163">
        <v>4227</v>
      </c>
      <c r="C58" s="164"/>
      <c r="D58" s="165"/>
      <c r="E58" s="47" t="s">
        <v>113</v>
      </c>
      <c r="F58" s="73">
        <v>3540</v>
      </c>
      <c r="G58" s="91">
        <v>2552.61</v>
      </c>
      <c r="H58" s="80">
        <f t="shared" si="3"/>
        <v>72.107627118644075</v>
      </c>
    </row>
    <row r="59" spans="2:8" ht="18" customHeight="1" x14ac:dyDescent="0.25">
      <c r="B59" s="163">
        <v>4262</v>
      </c>
      <c r="C59" s="164"/>
      <c r="D59" s="165"/>
      <c r="E59" s="47" t="s">
        <v>115</v>
      </c>
      <c r="F59" s="73">
        <v>470</v>
      </c>
      <c r="G59" s="91">
        <v>466.88</v>
      </c>
      <c r="H59" s="80">
        <f t="shared" si="3"/>
        <v>99.336170212765964</v>
      </c>
    </row>
    <row r="60" spans="2:8" s="56" customFormat="1" ht="18" customHeight="1" x14ac:dyDescent="0.25">
      <c r="B60" s="166">
        <v>94</v>
      </c>
      <c r="C60" s="167"/>
      <c r="D60" s="168"/>
      <c r="E60" s="67" t="s">
        <v>234</v>
      </c>
      <c r="F60" s="72">
        <f>F61</f>
        <v>52216</v>
      </c>
      <c r="G60" s="78">
        <f>G61</f>
        <v>52216</v>
      </c>
      <c r="H60" s="78">
        <f>G60/F60*100</f>
        <v>100</v>
      </c>
    </row>
    <row r="61" spans="2:8" ht="18" customHeight="1" x14ac:dyDescent="0.25">
      <c r="B61" s="159">
        <v>32</v>
      </c>
      <c r="C61" s="160"/>
      <c r="D61" s="161"/>
      <c r="E61" s="67" t="s">
        <v>13</v>
      </c>
      <c r="F61" s="72">
        <f>SUM(F62:F72)</f>
        <v>52216</v>
      </c>
      <c r="G61" s="78">
        <f>SUM(G62:G72)</f>
        <v>52216</v>
      </c>
      <c r="H61" s="78">
        <f>G61/F61*100</f>
        <v>100</v>
      </c>
    </row>
    <row r="62" spans="2:8" ht="18" customHeight="1" x14ac:dyDescent="0.25">
      <c r="B62" s="162">
        <v>3221</v>
      </c>
      <c r="C62" s="162"/>
      <c r="D62" s="162"/>
      <c r="E62" s="47" t="s">
        <v>89</v>
      </c>
      <c r="F62" s="73">
        <v>5000</v>
      </c>
      <c r="G62" s="91">
        <v>5000</v>
      </c>
      <c r="H62" s="80">
        <f t="shared" ref="H62:H72" si="4">G62/F62*100</f>
        <v>100</v>
      </c>
    </row>
    <row r="63" spans="2:8" ht="18" customHeight="1" x14ac:dyDescent="0.25">
      <c r="B63" s="162">
        <v>3222</v>
      </c>
      <c r="C63" s="162"/>
      <c r="D63" s="162"/>
      <c r="E63" s="47" t="s">
        <v>90</v>
      </c>
      <c r="F63" s="73">
        <v>21500</v>
      </c>
      <c r="G63" s="91">
        <v>21500</v>
      </c>
      <c r="H63" s="80">
        <f t="shared" si="4"/>
        <v>100</v>
      </c>
    </row>
    <row r="64" spans="2:8" ht="18" customHeight="1" x14ac:dyDescent="0.25">
      <c r="B64" s="162">
        <v>3223</v>
      </c>
      <c r="C64" s="162"/>
      <c r="D64" s="162"/>
      <c r="E64" s="47" t="s">
        <v>91</v>
      </c>
      <c r="F64" s="73">
        <v>12000</v>
      </c>
      <c r="G64" s="91">
        <v>12000</v>
      </c>
      <c r="H64" s="80">
        <f t="shared" si="4"/>
        <v>100</v>
      </c>
    </row>
    <row r="65" spans="2:8" ht="18" customHeight="1" x14ac:dyDescent="0.25">
      <c r="B65" s="163">
        <v>3231</v>
      </c>
      <c r="C65" s="164"/>
      <c r="D65" s="165"/>
      <c r="E65" s="47" t="s">
        <v>95</v>
      </c>
      <c r="F65" s="73">
        <v>2000</v>
      </c>
      <c r="G65" s="91">
        <v>2000</v>
      </c>
      <c r="H65" s="80">
        <f t="shared" si="4"/>
        <v>100</v>
      </c>
    </row>
    <row r="66" spans="2:8" ht="18" customHeight="1" x14ac:dyDescent="0.25">
      <c r="B66" s="163">
        <v>3232</v>
      </c>
      <c r="C66" s="164"/>
      <c r="D66" s="165"/>
      <c r="E66" s="47" t="s">
        <v>96</v>
      </c>
      <c r="F66" s="73">
        <v>3500</v>
      </c>
      <c r="G66" s="91">
        <v>3500</v>
      </c>
      <c r="H66" s="80">
        <f t="shared" si="4"/>
        <v>100</v>
      </c>
    </row>
    <row r="67" spans="2:8" ht="18" customHeight="1" x14ac:dyDescent="0.25">
      <c r="B67" s="163">
        <v>3234</v>
      </c>
      <c r="C67" s="164"/>
      <c r="D67" s="165"/>
      <c r="E67" s="47" t="s">
        <v>98</v>
      </c>
      <c r="F67" s="73">
        <v>1500</v>
      </c>
      <c r="G67" s="91">
        <v>1500</v>
      </c>
      <c r="H67" s="80">
        <f t="shared" si="4"/>
        <v>100</v>
      </c>
    </row>
    <row r="68" spans="2:8" ht="18" customHeight="1" x14ac:dyDescent="0.25">
      <c r="B68" s="163">
        <v>3236</v>
      </c>
      <c r="C68" s="164"/>
      <c r="D68" s="165"/>
      <c r="E68" s="47" t="s">
        <v>99</v>
      </c>
      <c r="F68" s="73">
        <v>500</v>
      </c>
      <c r="G68" s="91">
        <v>500</v>
      </c>
      <c r="H68" s="80">
        <f t="shared" si="4"/>
        <v>100</v>
      </c>
    </row>
    <row r="69" spans="2:8" ht="18" customHeight="1" x14ac:dyDescent="0.25">
      <c r="B69" s="163">
        <v>3238</v>
      </c>
      <c r="C69" s="164"/>
      <c r="D69" s="165"/>
      <c r="E69" s="47" t="s">
        <v>100</v>
      </c>
      <c r="F69" s="73">
        <v>2000</v>
      </c>
      <c r="G69" s="91">
        <v>2000</v>
      </c>
      <c r="H69" s="80">
        <f t="shared" si="4"/>
        <v>100</v>
      </c>
    </row>
    <row r="70" spans="2:8" ht="18" customHeight="1" x14ac:dyDescent="0.25">
      <c r="B70" s="163">
        <v>3239</v>
      </c>
      <c r="C70" s="164"/>
      <c r="D70" s="165"/>
      <c r="E70" s="47" t="s">
        <v>101</v>
      </c>
      <c r="F70" s="73">
        <v>1000</v>
      </c>
      <c r="G70" s="91">
        <v>1000</v>
      </c>
      <c r="H70" s="80">
        <f t="shared" si="4"/>
        <v>100</v>
      </c>
    </row>
    <row r="71" spans="2:8" ht="18" customHeight="1" x14ac:dyDescent="0.25">
      <c r="B71" s="163">
        <v>3292</v>
      </c>
      <c r="C71" s="164"/>
      <c r="D71" s="165"/>
      <c r="E71" s="47" t="s">
        <v>102</v>
      </c>
      <c r="F71" s="73">
        <v>3000</v>
      </c>
      <c r="G71" s="91">
        <v>3000</v>
      </c>
      <c r="H71" s="80">
        <f t="shared" si="4"/>
        <v>100</v>
      </c>
    </row>
    <row r="72" spans="2:8" ht="18" customHeight="1" x14ac:dyDescent="0.25">
      <c r="B72" s="163">
        <v>3299</v>
      </c>
      <c r="C72" s="164"/>
      <c r="D72" s="165"/>
      <c r="E72" s="47" t="s">
        <v>105</v>
      </c>
      <c r="F72" s="73">
        <v>216</v>
      </c>
      <c r="G72" s="91">
        <v>216</v>
      </c>
      <c r="H72" s="80">
        <f t="shared" si="4"/>
        <v>100</v>
      </c>
    </row>
    <row r="73" spans="2:8" x14ac:dyDescent="0.25">
      <c r="B73" s="46"/>
      <c r="C73" s="46"/>
      <c r="D73" s="46"/>
      <c r="E73" s="46"/>
      <c r="F73" s="46"/>
      <c r="G73" s="46"/>
      <c r="H73" s="46"/>
    </row>
  </sheetData>
  <mergeCells count="69">
    <mergeCell ref="B71:D71"/>
    <mergeCell ref="B68:D68"/>
    <mergeCell ref="B72:D72"/>
    <mergeCell ref="B66:D66"/>
    <mergeCell ref="B65:D65"/>
    <mergeCell ref="B67:D67"/>
    <mergeCell ref="B69:D69"/>
    <mergeCell ref="B70:D70"/>
    <mergeCell ref="B60:D60"/>
    <mergeCell ref="B61:D61"/>
    <mergeCell ref="B62:D62"/>
    <mergeCell ref="B63:D63"/>
    <mergeCell ref="B64:D64"/>
    <mergeCell ref="B53:D53"/>
    <mergeCell ref="B54:D54"/>
    <mergeCell ref="B56:D56"/>
    <mergeCell ref="B58:D58"/>
    <mergeCell ref="B59:D59"/>
    <mergeCell ref="B57:D57"/>
    <mergeCell ref="B55:D55"/>
    <mergeCell ref="B48:D48"/>
    <mergeCell ref="B49:D49"/>
    <mergeCell ref="B50:D50"/>
    <mergeCell ref="B51:D51"/>
    <mergeCell ref="B52:D52"/>
    <mergeCell ref="B40:D40"/>
    <mergeCell ref="B43:D43"/>
    <mergeCell ref="B44:D44"/>
    <mergeCell ref="B46:D46"/>
    <mergeCell ref="B47:D47"/>
    <mergeCell ref="B41:D41"/>
    <mergeCell ref="B42:D42"/>
    <mergeCell ref="B45:D45"/>
    <mergeCell ref="B38:D38"/>
    <mergeCell ref="B39:D39"/>
    <mergeCell ref="B31:D31"/>
    <mergeCell ref="B33:D33"/>
    <mergeCell ref="B34:D34"/>
    <mergeCell ref="B37:D37"/>
    <mergeCell ref="B35:D35"/>
    <mergeCell ref="B36:D36"/>
    <mergeCell ref="B30:D30"/>
    <mergeCell ref="B32:D32"/>
    <mergeCell ref="B26:D26"/>
    <mergeCell ref="B27:D27"/>
    <mergeCell ref="B28:D28"/>
    <mergeCell ref="B29:D29"/>
    <mergeCell ref="B22:D22"/>
    <mergeCell ref="B23:D23"/>
    <mergeCell ref="B24:D24"/>
    <mergeCell ref="B25:D25"/>
    <mergeCell ref="B19:D19"/>
    <mergeCell ref="B2:H2"/>
    <mergeCell ref="B4:H4"/>
    <mergeCell ref="B6:E6"/>
    <mergeCell ref="B7:E7"/>
    <mergeCell ref="B8:D8"/>
    <mergeCell ref="B9:E9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0:D20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4"/>
  <sheetViews>
    <sheetView topLeftCell="A94" workbookViewId="0">
      <selection activeCell="K10" sqref="K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6.5703125" customWidth="1"/>
    <col min="7" max="9" width="25.28515625" customWidth="1"/>
    <col min="10" max="11" width="15.7109375" customWidth="1"/>
  </cols>
  <sheetData>
    <row r="1" spans="1:11" ht="18" x14ac:dyDescent="0.25">
      <c r="B1" s="156" t="s">
        <v>77</v>
      </c>
      <c r="C1" s="156"/>
      <c r="D1" s="156"/>
      <c r="E1" s="156"/>
      <c r="F1" s="156"/>
      <c r="G1" s="3"/>
      <c r="H1" s="3"/>
      <c r="I1" s="3"/>
      <c r="J1" s="3"/>
      <c r="K1" s="3"/>
    </row>
    <row r="2" spans="1:11" ht="15.75" customHeight="1" x14ac:dyDescent="0.25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8" x14ac:dyDescent="0.25">
      <c r="B3" s="3"/>
      <c r="C3" s="3"/>
      <c r="D3" s="3"/>
      <c r="E3" s="3"/>
      <c r="F3" s="3"/>
      <c r="G3" s="3"/>
      <c r="H3" s="3"/>
      <c r="I3" s="4"/>
      <c r="J3" s="4"/>
      <c r="K3" s="4"/>
    </row>
    <row r="4" spans="1:11" ht="15.75" customHeight="1" x14ac:dyDescent="0.25">
      <c r="B4" s="134" t="s">
        <v>67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1:11" ht="18" x14ac:dyDescent="0.25">
      <c r="B5" s="3"/>
      <c r="C5" s="3"/>
      <c r="D5" s="3"/>
      <c r="E5" s="3"/>
      <c r="F5" s="3"/>
      <c r="G5" s="3"/>
      <c r="H5" s="3"/>
      <c r="I5" s="4"/>
      <c r="J5" s="4"/>
      <c r="K5" s="4"/>
    </row>
    <row r="6" spans="1:11" ht="15.75" customHeight="1" x14ac:dyDescent="0.25">
      <c r="B6" s="134" t="s">
        <v>47</v>
      </c>
      <c r="C6" s="134"/>
      <c r="D6" s="134"/>
      <c r="E6" s="134"/>
      <c r="F6" s="134"/>
      <c r="G6" s="134"/>
      <c r="H6" s="134"/>
      <c r="I6" s="134"/>
      <c r="J6" s="134"/>
      <c r="K6" s="134"/>
    </row>
    <row r="7" spans="1:11" ht="18" x14ac:dyDescent="0.25">
      <c r="B7" s="3"/>
      <c r="C7" s="3"/>
      <c r="D7" s="3"/>
      <c r="E7" s="3"/>
      <c r="F7" s="3"/>
      <c r="G7" s="3"/>
      <c r="H7" s="3"/>
      <c r="I7" s="4"/>
      <c r="J7" s="4"/>
      <c r="K7" s="4"/>
    </row>
    <row r="8" spans="1:11" ht="45" customHeight="1" x14ac:dyDescent="0.25">
      <c r="B8" s="150" t="s">
        <v>8</v>
      </c>
      <c r="C8" s="151"/>
      <c r="D8" s="151"/>
      <c r="E8" s="151"/>
      <c r="F8" s="152"/>
      <c r="G8" s="39" t="s">
        <v>154</v>
      </c>
      <c r="H8" s="39" t="s">
        <v>64</v>
      </c>
      <c r="I8" s="39" t="s">
        <v>155</v>
      </c>
      <c r="J8" s="39" t="s">
        <v>30</v>
      </c>
      <c r="K8" s="39" t="s">
        <v>62</v>
      </c>
    </row>
    <row r="9" spans="1:11" x14ac:dyDescent="0.25">
      <c r="B9" s="153">
        <v>1</v>
      </c>
      <c r="C9" s="154"/>
      <c r="D9" s="154"/>
      <c r="E9" s="154"/>
      <c r="F9" s="155"/>
      <c r="G9" s="42">
        <v>2</v>
      </c>
      <c r="H9" s="42">
        <v>3</v>
      </c>
      <c r="I9" s="42">
        <v>4</v>
      </c>
      <c r="J9" s="42" t="s">
        <v>125</v>
      </c>
      <c r="K9" s="42" t="s">
        <v>185</v>
      </c>
    </row>
    <row r="10" spans="1:11" s="56" customFormat="1" x14ac:dyDescent="0.25">
      <c r="B10" s="10"/>
      <c r="C10" s="10"/>
      <c r="D10" s="10"/>
      <c r="E10" s="10"/>
      <c r="F10" s="10" t="s">
        <v>60</v>
      </c>
      <c r="G10" s="78">
        <v>3066497</v>
      </c>
      <c r="H10" s="60">
        <f>H11+H41</f>
        <v>3295255.5300000003</v>
      </c>
      <c r="I10" s="82">
        <f>I11+I41</f>
        <v>3290154.33</v>
      </c>
      <c r="J10" s="82">
        <f>I10/G10*100</f>
        <v>107.29357732944138</v>
      </c>
      <c r="K10" s="82">
        <f>I10/H10*100</f>
        <v>99.845195616741748</v>
      </c>
    </row>
    <row r="11" spans="1:11" x14ac:dyDescent="0.25">
      <c r="B11" s="10">
        <v>6</v>
      </c>
      <c r="C11" s="10"/>
      <c r="D11" s="10"/>
      <c r="E11" s="10"/>
      <c r="F11" s="10" t="s">
        <v>3</v>
      </c>
      <c r="G11" s="79">
        <f>G12+G20+G26+G29+G35+G38</f>
        <v>3066141.2611573422</v>
      </c>
      <c r="H11" s="58">
        <f>H12+H20+H26+H29+H35</f>
        <v>3295125.5300000003</v>
      </c>
      <c r="I11" s="79">
        <f>I12+I20+I26+I29+I35+I38</f>
        <v>3290027.4</v>
      </c>
      <c r="J11" s="82">
        <f>I11/G11*100</f>
        <v>107.30188597893073</v>
      </c>
      <c r="K11" s="82">
        <f>I11/H11*100</f>
        <v>99.845282677288466</v>
      </c>
    </row>
    <row r="12" spans="1:11" ht="25.5" x14ac:dyDescent="0.25">
      <c r="B12" s="10"/>
      <c r="C12" s="14">
        <v>63</v>
      </c>
      <c r="D12" s="14"/>
      <c r="E12" s="14"/>
      <c r="F12" s="14" t="s">
        <v>136</v>
      </c>
      <c r="G12" s="80">
        <f>G15+G18</f>
        <v>2729032.5024885521</v>
      </c>
      <c r="H12" s="8">
        <v>2884398</v>
      </c>
      <c r="I12" s="83">
        <f>I13+I15+I18</f>
        <v>2902754.3600000003</v>
      </c>
      <c r="J12" s="82">
        <f>I12/G12*100</f>
        <v>106.36569397224234</v>
      </c>
      <c r="K12" s="82">
        <f>I12/H12*100</f>
        <v>100.63640177257092</v>
      </c>
    </row>
    <row r="13" spans="1:11" ht="30" customHeight="1" x14ac:dyDescent="0.25">
      <c r="A13" t="s">
        <v>225</v>
      </c>
      <c r="B13" s="11"/>
      <c r="C13" s="11"/>
      <c r="D13" s="11" t="s">
        <v>226</v>
      </c>
      <c r="E13" s="11"/>
      <c r="F13" s="28" t="s">
        <v>187</v>
      </c>
      <c r="G13" s="80"/>
      <c r="H13" s="8"/>
      <c r="I13" s="83">
        <f>I14</f>
        <v>19223.64</v>
      </c>
      <c r="J13" s="84" t="s">
        <v>117</v>
      </c>
      <c r="K13" s="84" t="s">
        <v>117</v>
      </c>
    </row>
    <row r="14" spans="1:11" ht="30" customHeight="1" x14ac:dyDescent="0.25">
      <c r="B14" s="11"/>
      <c r="C14" s="11"/>
      <c r="D14" s="11"/>
      <c r="E14" s="11" t="s">
        <v>227</v>
      </c>
      <c r="F14" s="28" t="s">
        <v>228</v>
      </c>
      <c r="G14" s="80"/>
      <c r="H14" s="8"/>
      <c r="I14" s="83">
        <v>19223.64</v>
      </c>
      <c r="J14" s="84" t="s">
        <v>117</v>
      </c>
      <c r="K14" s="84" t="s">
        <v>117</v>
      </c>
    </row>
    <row r="15" spans="1:11" ht="30" customHeight="1" x14ac:dyDescent="0.25">
      <c r="B15" s="11"/>
      <c r="C15" s="11"/>
      <c r="D15" s="11" t="s">
        <v>186</v>
      </c>
      <c r="E15" s="11"/>
      <c r="F15" s="28" t="s">
        <v>187</v>
      </c>
      <c r="G15" s="80">
        <f>G16</f>
        <v>2532902.8575220648</v>
      </c>
      <c r="H15" s="8">
        <f>H16</f>
        <v>2743858</v>
      </c>
      <c r="I15" s="83">
        <f>I16+I17</f>
        <v>2738512.6300000004</v>
      </c>
      <c r="J15" s="82">
        <f>I15/G15*100</f>
        <v>108.11755460211701</v>
      </c>
      <c r="K15" s="82">
        <f>I15/H15*100</f>
        <v>99.805187804908286</v>
      </c>
    </row>
    <row r="16" spans="1:11" ht="30" customHeight="1" x14ac:dyDescent="0.25">
      <c r="B16" s="11"/>
      <c r="C16" s="11"/>
      <c r="D16" s="11"/>
      <c r="E16" s="11" t="s">
        <v>188</v>
      </c>
      <c r="F16" s="28" t="s">
        <v>189</v>
      </c>
      <c r="G16" s="80">
        <f>(109802.64+18962806.04+11547.9)/7.5345</f>
        <v>2532902.8575220648</v>
      </c>
      <c r="H16" s="8">
        <f>2707991+19267+16600</f>
        <v>2743858</v>
      </c>
      <c r="I16" s="83">
        <v>2737632.2</v>
      </c>
      <c r="J16" s="82">
        <f>I16/G16*100</f>
        <v>108.08279487979344</v>
      </c>
      <c r="K16" s="82">
        <f>I16/H16*100</f>
        <v>99.773100503014376</v>
      </c>
    </row>
    <row r="17" spans="2:11" ht="30" customHeight="1" x14ac:dyDescent="0.25">
      <c r="B17" s="11"/>
      <c r="C17" s="11"/>
      <c r="D17" s="11"/>
      <c r="E17" s="11" t="s">
        <v>229</v>
      </c>
      <c r="F17" s="28" t="s">
        <v>230</v>
      </c>
      <c r="G17" s="80"/>
      <c r="H17" s="8"/>
      <c r="I17" s="83">
        <v>880.43</v>
      </c>
      <c r="J17" s="84" t="s">
        <v>117</v>
      </c>
      <c r="K17" s="84" t="s">
        <v>117</v>
      </c>
    </row>
    <row r="18" spans="2:11" ht="30" customHeight="1" x14ac:dyDescent="0.25">
      <c r="B18" s="11"/>
      <c r="C18" s="11"/>
      <c r="D18" s="11" t="s">
        <v>190</v>
      </c>
      <c r="E18" s="11"/>
      <c r="F18" s="28" t="s">
        <v>191</v>
      </c>
      <c r="G18" s="80">
        <f>G19</f>
        <v>196129.64496648748</v>
      </c>
      <c r="H18" s="8">
        <f>H19</f>
        <v>140540</v>
      </c>
      <c r="I18" s="83">
        <f>I19</f>
        <v>145018.09</v>
      </c>
      <c r="J18" s="82">
        <f t="shared" ref="J18:J49" si="0">I18/G18*100</f>
        <v>73.939913583578416</v>
      </c>
      <c r="K18" s="82">
        <f>I18/H18*100</f>
        <v>103.18634552440587</v>
      </c>
    </row>
    <row r="19" spans="2:11" ht="30" customHeight="1" x14ac:dyDescent="0.25">
      <c r="B19" s="11"/>
      <c r="C19" s="11"/>
      <c r="D19" s="11"/>
      <c r="E19" s="11" t="s">
        <v>192</v>
      </c>
      <c r="F19" s="28" t="s">
        <v>193</v>
      </c>
      <c r="G19" s="80">
        <f>1477738.81/7.5345</f>
        <v>196129.64496648748</v>
      </c>
      <c r="H19" s="8">
        <v>140540</v>
      </c>
      <c r="I19" s="83">
        <v>145018.09</v>
      </c>
      <c r="J19" s="82">
        <f t="shared" si="0"/>
        <v>73.939913583578416</v>
      </c>
      <c r="K19" s="82">
        <f>I19/H19*100</f>
        <v>103.18634552440587</v>
      </c>
    </row>
    <row r="20" spans="2:11" x14ac:dyDescent="0.25">
      <c r="B20" s="10"/>
      <c r="C20" s="14">
        <v>64</v>
      </c>
      <c r="D20" s="14"/>
      <c r="E20" s="14"/>
      <c r="F20" s="14" t="s">
        <v>137</v>
      </c>
      <c r="G20" s="80">
        <f>G24+G21</f>
        <v>16711.629999999997</v>
      </c>
      <c r="H20" s="8">
        <v>10620</v>
      </c>
      <c r="I20" s="83">
        <f>I21+I24</f>
        <v>4613.5300000000007</v>
      </c>
      <c r="J20" s="82">
        <f t="shared" si="0"/>
        <v>27.606702637624224</v>
      </c>
      <c r="K20" s="82">
        <f>I20/H20*100</f>
        <v>43.441902071563092</v>
      </c>
    </row>
    <row r="21" spans="2:11" x14ac:dyDescent="0.25">
      <c r="B21" s="11"/>
      <c r="C21" s="11"/>
      <c r="D21" s="11" t="s">
        <v>219</v>
      </c>
      <c r="E21" s="11"/>
      <c r="F21" s="11" t="s">
        <v>220</v>
      </c>
      <c r="G21" s="80">
        <f>G22+G23</f>
        <v>11.44</v>
      </c>
      <c r="H21" s="8">
        <v>0</v>
      </c>
      <c r="I21" s="83">
        <f>I22</f>
        <v>1.22</v>
      </c>
      <c r="J21" s="82">
        <f t="shared" si="0"/>
        <v>10.664335664335663</v>
      </c>
      <c r="K21" s="84" t="s">
        <v>117</v>
      </c>
    </row>
    <row r="22" spans="2:11" x14ac:dyDescent="0.25">
      <c r="B22" s="11"/>
      <c r="C22" s="11"/>
      <c r="D22" s="11"/>
      <c r="E22" s="11">
        <v>6413</v>
      </c>
      <c r="F22" s="11" t="s">
        <v>221</v>
      </c>
      <c r="G22" s="80">
        <v>8.0299999999999994</v>
      </c>
      <c r="H22" s="8">
        <v>0</v>
      </c>
      <c r="I22" s="83">
        <v>1.22</v>
      </c>
      <c r="J22" s="82">
        <f t="shared" si="0"/>
        <v>15.193026151930262</v>
      </c>
      <c r="K22" s="84" t="s">
        <v>117</v>
      </c>
    </row>
    <row r="23" spans="2:11" ht="29.25" customHeight="1" x14ac:dyDescent="0.25">
      <c r="B23" s="11"/>
      <c r="C23" s="11"/>
      <c r="D23" s="11"/>
      <c r="E23" s="11">
        <v>6415</v>
      </c>
      <c r="F23" s="28" t="s">
        <v>222</v>
      </c>
      <c r="G23" s="80">
        <v>3.41</v>
      </c>
      <c r="H23" s="8">
        <v>0</v>
      </c>
      <c r="I23" s="83"/>
      <c r="J23" s="82">
        <f t="shared" si="0"/>
        <v>0</v>
      </c>
      <c r="K23" s="84" t="s">
        <v>117</v>
      </c>
    </row>
    <row r="24" spans="2:11" x14ac:dyDescent="0.25">
      <c r="B24" s="11"/>
      <c r="C24" s="11"/>
      <c r="D24" s="11" t="s">
        <v>194</v>
      </c>
      <c r="E24" s="11"/>
      <c r="F24" s="11" t="s">
        <v>195</v>
      </c>
      <c r="G24" s="80">
        <f>G25</f>
        <v>16700.189999999999</v>
      </c>
      <c r="H24" s="8">
        <f>H25</f>
        <v>10620</v>
      </c>
      <c r="I24" s="83">
        <f>I25</f>
        <v>4612.3100000000004</v>
      </c>
      <c r="J24" s="82">
        <f t="shared" si="0"/>
        <v>27.618308534214286</v>
      </c>
      <c r="K24" s="82">
        <f t="shared" ref="K24:K37" si="1">I24/H24*100</f>
        <v>43.430414312617707</v>
      </c>
    </row>
    <row r="25" spans="2:11" x14ac:dyDescent="0.25">
      <c r="B25" s="11"/>
      <c r="C25" s="11"/>
      <c r="D25" s="11"/>
      <c r="E25" s="11" t="s">
        <v>196</v>
      </c>
      <c r="F25" s="11" t="s">
        <v>197</v>
      </c>
      <c r="G25" s="80">
        <v>16700.189999999999</v>
      </c>
      <c r="H25" s="8">
        <v>10620</v>
      </c>
      <c r="I25" s="83">
        <v>4612.3100000000004</v>
      </c>
      <c r="J25" s="82">
        <f t="shared" si="0"/>
        <v>27.618308534214286</v>
      </c>
      <c r="K25" s="82">
        <f t="shared" si="1"/>
        <v>43.430414312617707</v>
      </c>
    </row>
    <row r="26" spans="2:11" x14ac:dyDescent="0.25">
      <c r="B26" s="10"/>
      <c r="C26" s="14">
        <v>65</v>
      </c>
      <c r="D26" s="14"/>
      <c r="E26" s="14"/>
      <c r="F26" s="14" t="s">
        <v>78</v>
      </c>
      <c r="G26" s="80">
        <f>G27</f>
        <v>4738.4697060189792</v>
      </c>
      <c r="H26" s="8">
        <v>4100</v>
      </c>
      <c r="I26" s="83">
        <f>I27</f>
        <v>4230.78</v>
      </c>
      <c r="J26" s="82">
        <f t="shared" si="0"/>
        <v>89.285787658954675</v>
      </c>
      <c r="K26" s="82">
        <f t="shared" si="1"/>
        <v>103.18975609756096</v>
      </c>
    </row>
    <row r="27" spans="2:11" x14ac:dyDescent="0.25">
      <c r="B27" s="11"/>
      <c r="C27" s="11"/>
      <c r="D27" s="11">
        <v>652</v>
      </c>
      <c r="E27" s="11"/>
      <c r="F27" s="11" t="s">
        <v>78</v>
      </c>
      <c r="G27" s="80">
        <f>G28</f>
        <v>4738.4697060189792</v>
      </c>
      <c r="H27" s="8">
        <f>H28</f>
        <v>4100</v>
      </c>
      <c r="I27" s="83">
        <f>I28</f>
        <v>4230.78</v>
      </c>
      <c r="J27" s="82">
        <f t="shared" si="0"/>
        <v>89.285787658954675</v>
      </c>
      <c r="K27" s="82">
        <f t="shared" si="1"/>
        <v>103.18975609756096</v>
      </c>
    </row>
    <row r="28" spans="2:11" x14ac:dyDescent="0.25">
      <c r="B28" s="11"/>
      <c r="C28" s="11"/>
      <c r="D28" s="11"/>
      <c r="E28" s="11">
        <v>6526</v>
      </c>
      <c r="F28" s="11" t="s">
        <v>79</v>
      </c>
      <c r="G28" s="80">
        <f>35702/7.5345</f>
        <v>4738.4697060189792</v>
      </c>
      <c r="H28" s="8">
        <v>4100</v>
      </c>
      <c r="I28" s="83">
        <v>4230.78</v>
      </c>
      <c r="J28" s="82">
        <f t="shared" si="0"/>
        <v>89.285787658954675</v>
      </c>
      <c r="K28" s="82">
        <f t="shared" si="1"/>
        <v>103.18975609756096</v>
      </c>
    </row>
    <row r="29" spans="2:11" ht="25.5" x14ac:dyDescent="0.25">
      <c r="B29" s="11"/>
      <c r="C29" s="11">
        <v>66</v>
      </c>
      <c r="D29" s="12"/>
      <c r="E29" s="12"/>
      <c r="F29" s="14" t="s">
        <v>80</v>
      </c>
      <c r="G29" s="80">
        <f>G30+G33</f>
        <v>80343.268962771253</v>
      </c>
      <c r="H29" s="8">
        <v>114281</v>
      </c>
      <c r="I29" s="83">
        <f>I30+I33</f>
        <v>105810.27</v>
      </c>
      <c r="J29" s="82">
        <f t="shared" si="0"/>
        <v>131.69774066453459</v>
      </c>
      <c r="K29" s="82">
        <f t="shared" si="1"/>
        <v>92.587805496976756</v>
      </c>
    </row>
    <row r="30" spans="2:11" ht="29.25" customHeight="1" x14ac:dyDescent="0.25">
      <c r="B30" s="11"/>
      <c r="C30" s="19"/>
      <c r="D30" s="12">
        <v>661</v>
      </c>
      <c r="E30" s="12"/>
      <c r="F30" s="14" t="s">
        <v>37</v>
      </c>
      <c r="G30" s="80">
        <f>G31+G32</f>
        <v>77122.329285287677</v>
      </c>
      <c r="H30" s="8">
        <f>H31+H32</f>
        <v>113500</v>
      </c>
      <c r="I30" s="83">
        <f>I31+I32</f>
        <v>105029.35</v>
      </c>
      <c r="J30" s="82">
        <f t="shared" si="0"/>
        <v>136.18539659438949</v>
      </c>
      <c r="K30" s="82">
        <f t="shared" si="1"/>
        <v>92.536872246696049</v>
      </c>
    </row>
    <row r="31" spans="2:11" x14ac:dyDescent="0.25">
      <c r="B31" s="11"/>
      <c r="C31" s="19"/>
      <c r="D31" s="12"/>
      <c r="E31" s="12">
        <v>6614</v>
      </c>
      <c r="F31" s="14" t="s">
        <v>38</v>
      </c>
      <c r="G31" s="80">
        <f>14834.5/7.5345</f>
        <v>1968.8765014267701</v>
      </c>
      <c r="H31" s="8">
        <v>3500</v>
      </c>
      <c r="I31" s="83">
        <v>3329.14</v>
      </c>
      <c r="J31" s="82">
        <f t="shared" si="0"/>
        <v>169.08830988573933</v>
      </c>
      <c r="K31" s="82">
        <f t="shared" si="1"/>
        <v>95.118285714285705</v>
      </c>
    </row>
    <row r="32" spans="2:11" x14ac:dyDescent="0.25">
      <c r="B32" s="11"/>
      <c r="C32" s="19"/>
      <c r="D32" s="12"/>
      <c r="E32" s="12">
        <v>6615</v>
      </c>
      <c r="F32" s="14" t="s">
        <v>81</v>
      </c>
      <c r="G32" s="80">
        <f>(605680.92-39437.23)/7.5345</f>
        <v>75153.452783860906</v>
      </c>
      <c r="H32" s="8">
        <v>110000</v>
      </c>
      <c r="I32" s="83">
        <v>101700.21</v>
      </c>
      <c r="J32" s="82">
        <f t="shared" si="0"/>
        <v>135.32340329390692</v>
      </c>
      <c r="K32" s="82">
        <f t="shared" si="1"/>
        <v>92.454736363636371</v>
      </c>
    </row>
    <row r="33" spans="2:11" x14ac:dyDescent="0.25">
      <c r="B33" s="11"/>
      <c r="C33" s="19"/>
      <c r="D33" s="12">
        <v>663</v>
      </c>
      <c r="E33" s="12"/>
      <c r="F33" s="14" t="s">
        <v>182</v>
      </c>
      <c r="G33" s="80">
        <f>G34</f>
        <v>3220.939677483575</v>
      </c>
      <c r="H33" s="8">
        <v>781</v>
      </c>
      <c r="I33" s="83">
        <v>780.92</v>
      </c>
      <c r="J33" s="82">
        <f t="shared" si="0"/>
        <v>24.245098579744582</v>
      </c>
      <c r="K33" s="82">
        <f t="shared" si="1"/>
        <v>99.989756722151085</v>
      </c>
    </row>
    <row r="34" spans="2:11" x14ac:dyDescent="0.25">
      <c r="B34" s="11"/>
      <c r="C34" s="19"/>
      <c r="D34" s="12"/>
      <c r="E34" s="12">
        <v>6631</v>
      </c>
      <c r="F34" s="14" t="s">
        <v>182</v>
      </c>
      <c r="G34" s="80">
        <f>24268.17/7.5345</f>
        <v>3220.939677483575</v>
      </c>
      <c r="H34" s="8">
        <v>781</v>
      </c>
      <c r="I34" s="83">
        <v>780.92</v>
      </c>
      <c r="J34" s="82">
        <f t="shared" si="0"/>
        <v>24.245098579744582</v>
      </c>
      <c r="K34" s="82">
        <f t="shared" si="1"/>
        <v>99.989756722151085</v>
      </c>
    </row>
    <row r="35" spans="2:11" ht="25.5" x14ac:dyDescent="0.25">
      <c r="B35" s="11"/>
      <c r="C35" s="11">
        <v>67</v>
      </c>
      <c r="D35" s="12"/>
      <c r="E35" s="12"/>
      <c r="F35" s="14" t="s">
        <v>82</v>
      </c>
      <c r="G35" s="80">
        <f>G36</f>
        <v>232661.02</v>
      </c>
      <c r="H35" s="8">
        <v>281726.53000000003</v>
      </c>
      <c r="I35" s="83">
        <f>I36</f>
        <v>271202.82</v>
      </c>
      <c r="J35" s="82">
        <f t="shared" si="0"/>
        <v>116.56564559030988</v>
      </c>
      <c r="K35" s="82">
        <f t="shared" si="1"/>
        <v>96.264565499031988</v>
      </c>
    </row>
    <row r="36" spans="2:11" ht="25.5" x14ac:dyDescent="0.25">
      <c r="B36" s="11"/>
      <c r="C36" s="19"/>
      <c r="D36" s="12">
        <v>671</v>
      </c>
      <c r="E36" s="12"/>
      <c r="F36" s="14" t="s">
        <v>83</v>
      </c>
      <c r="G36" s="80">
        <f>G37</f>
        <v>232661.02</v>
      </c>
      <c r="H36" s="8">
        <v>281272</v>
      </c>
      <c r="I36" s="83">
        <f>I37</f>
        <v>271202.82</v>
      </c>
      <c r="J36" s="82">
        <f t="shared" si="0"/>
        <v>116.56564559030988</v>
      </c>
      <c r="K36" s="82">
        <f t="shared" si="1"/>
        <v>96.42012713672176</v>
      </c>
    </row>
    <row r="37" spans="2:11" ht="25.5" x14ac:dyDescent="0.25">
      <c r="B37" s="11"/>
      <c r="C37" s="19"/>
      <c r="D37" s="12"/>
      <c r="E37" s="12">
        <v>6711</v>
      </c>
      <c r="F37" s="14" t="s">
        <v>84</v>
      </c>
      <c r="G37" s="80">
        <v>232661.02</v>
      </c>
      <c r="H37" s="8">
        <f>219591.78+62134.75</f>
        <v>281726.53000000003</v>
      </c>
      <c r="I37" s="83">
        <v>271202.82</v>
      </c>
      <c r="J37" s="82">
        <f t="shared" si="0"/>
        <v>116.56564559030988</v>
      </c>
      <c r="K37" s="82">
        <f t="shared" si="1"/>
        <v>96.264565499031988</v>
      </c>
    </row>
    <row r="38" spans="2:11" x14ac:dyDescent="0.25">
      <c r="B38" s="11"/>
      <c r="C38" s="11">
        <v>68</v>
      </c>
      <c r="D38" s="12"/>
      <c r="E38" s="12"/>
      <c r="F38" s="14" t="s">
        <v>198</v>
      </c>
      <c r="G38" s="80">
        <f>G39</f>
        <v>2654.37</v>
      </c>
      <c r="H38" s="8">
        <v>0</v>
      </c>
      <c r="I38" s="83">
        <f>I39</f>
        <v>1415.64</v>
      </c>
      <c r="J38" s="82">
        <f t="shared" si="0"/>
        <v>53.332429163982418</v>
      </c>
      <c r="K38" s="84" t="s">
        <v>117</v>
      </c>
    </row>
    <row r="39" spans="2:11" x14ac:dyDescent="0.25">
      <c r="B39" s="11"/>
      <c r="C39" s="19"/>
      <c r="D39" s="12">
        <v>683</v>
      </c>
      <c r="E39" s="12"/>
      <c r="F39" s="14" t="s">
        <v>198</v>
      </c>
      <c r="G39" s="80">
        <f>G40</f>
        <v>2654.37</v>
      </c>
      <c r="H39" s="8">
        <v>0</v>
      </c>
      <c r="I39" s="83">
        <f>I40</f>
        <v>1415.64</v>
      </c>
      <c r="J39" s="82">
        <f t="shared" si="0"/>
        <v>53.332429163982418</v>
      </c>
      <c r="K39" s="84" t="s">
        <v>117</v>
      </c>
    </row>
    <row r="40" spans="2:11" x14ac:dyDescent="0.25">
      <c r="B40" s="11"/>
      <c r="C40" s="19"/>
      <c r="D40" s="12"/>
      <c r="E40" s="12">
        <v>6831</v>
      </c>
      <c r="F40" s="14" t="s">
        <v>198</v>
      </c>
      <c r="G40" s="80">
        <v>2654.37</v>
      </c>
      <c r="H40" s="8">
        <v>0</v>
      </c>
      <c r="I40" s="83">
        <v>1415.64</v>
      </c>
      <c r="J40" s="82">
        <f t="shared" si="0"/>
        <v>53.332429163982418</v>
      </c>
      <c r="K40" s="84" t="s">
        <v>117</v>
      </c>
    </row>
    <row r="41" spans="2:11" s="56" customFormat="1" x14ac:dyDescent="0.25">
      <c r="B41" s="19">
        <v>7</v>
      </c>
      <c r="C41" s="19"/>
      <c r="D41" s="65"/>
      <c r="E41" s="65"/>
      <c r="F41" s="10" t="s">
        <v>26</v>
      </c>
      <c r="G41" s="81">
        <f>G42</f>
        <v>356.37</v>
      </c>
      <c r="H41" s="59">
        <f>H42</f>
        <v>130</v>
      </c>
      <c r="I41" s="81">
        <f>I42</f>
        <v>126.93</v>
      </c>
      <c r="J41" s="82">
        <f t="shared" si="0"/>
        <v>35.617476218536915</v>
      </c>
      <c r="K41" s="82">
        <f t="shared" ref="K41:K49" si="2">I41/H41*100</f>
        <v>97.638461538461542</v>
      </c>
    </row>
    <row r="42" spans="2:11" ht="30.75" customHeight="1" x14ac:dyDescent="0.25">
      <c r="B42" s="11"/>
      <c r="C42" s="11">
        <v>72</v>
      </c>
      <c r="D42" s="12"/>
      <c r="E42" s="12"/>
      <c r="F42" s="28" t="s">
        <v>27</v>
      </c>
      <c r="G42" s="80">
        <f>G43</f>
        <v>356.37</v>
      </c>
      <c r="H42" s="8">
        <v>130</v>
      </c>
      <c r="I42" s="83">
        <f>I43</f>
        <v>126.93</v>
      </c>
      <c r="J42" s="82">
        <f t="shared" si="0"/>
        <v>35.617476218536915</v>
      </c>
      <c r="K42" s="82">
        <f t="shared" si="2"/>
        <v>97.638461538461542</v>
      </c>
    </row>
    <row r="43" spans="2:11" x14ac:dyDescent="0.25">
      <c r="B43" s="11"/>
      <c r="C43" s="11"/>
      <c r="D43" s="11">
        <v>721</v>
      </c>
      <c r="E43" s="11"/>
      <c r="F43" s="28" t="s">
        <v>39</v>
      </c>
      <c r="G43" s="80">
        <f>G44</f>
        <v>356.37</v>
      </c>
      <c r="H43" s="8">
        <v>130</v>
      </c>
      <c r="I43" s="83">
        <f>I44</f>
        <v>126.93</v>
      </c>
      <c r="J43" s="82">
        <f t="shared" si="0"/>
        <v>35.617476218536915</v>
      </c>
      <c r="K43" s="82">
        <f t="shared" si="2"/>
        <v>97.638461538461542</v>
      </c>
    </row>
    <row r="44" spans="2:11" x14ac:dyDescent="0.25">
      <c r="B44" s="11"/>
      <c r="C44" s="11"/>
      <c r="D44" s="11"/>
      <c r="E44" s="11">
        <v>7211</v>
      </c>
      <c r="F44" s="28" t="s">
        <v>40</v>
      </c>
      <c r="G44" s="80">
        <v>356.37</v>
      </c>
      <c r="H44" s="8">
        <v>130</v>
      </c>
      <c r="I44" s="83">
        <v>126.93</v>
      </c>
      <c r="J44" s="82">
        <f t="shared" si="0"/>
        <v>35.617476218536915</v>
      </c>
      <c r="K44" s="82">
        <f t="shared" si="2"/>
        <v>97.638461538461542</v>
      </c>
    </row>
    <row r="45" spans="2:11" s="56" customFormat="1" x14ac:dyDescent="0.25">
      <c r="B45" s="19">
        <v>9</v>
      </c>
      <c r="C45" s="19"/>
      <c r="D45" s="19"/>
      <c r="E45" s="19"/>
      <c r="F45" s="66" t="s">
        <v>223</v>
      </c>
      <c r="G45" s="78">
        <f>G46</f>
        <v>304112.65000000002</v>
      </c>
      <c r="H45" s="60">
        <f>H46</f>
        <v>185444</v>
      </c>
      <c r="I45" s="82">
        <f>I46</f>
        <v>190162.56</v>
      </c>
      <c r="J45" s="82">
        <f t="shared" si="0"/>
        <v>62.530302504680414</v>
      </c>
      <c r="K45" s="82">
        <f t="shared" si="2"/>
        <v>102.54446625396345</v>
      </c>
    </row>
    <row r="46" spans="2:11" ht="30.75" customHeight="1" x14ac:dyDescent="0.25">
      <c r="B46" s="11"/>
      <c r="C46" s="11">
        <v>92</v>
      </c>
      <c r="D46" s="12"/>
      <c r="E46" s="12"/>
      <c r="F46" s="28" t="s">
        <v>85</v>
      </c>
      <c r="G46" s="80">
        <f t="shared" ref="G46:I46" si="3">G47</f>
        <v>304112.65000000002</v>
      </c>
      <c r="H46" s="8">
        <f t="shared" si="3"/>
        <v>185444</v>
      </c>
      <c r="I46" s="83">
        <f t="shared" si="3"/>
        <v>190162.56</v>
      </c>
      <c r="J46" s="82">
        <f t="shared" si="0"/>
        <v>62.530302504680414</v>
      </c>
      <c r="K46" s="82">
        <f t="shared" si="2"/>
        <v>102.54446625396345</v>
      </c>
    </row>
    <row r="47" spans="2:11" x14ac:dyDescent="0.25">
      <c r="B47" s="11"/>
      <c r="C47" s="11"/>
      <c r="D47" s="11">
        <v>922</v>
      </c>
      <c r="E47" s="11"/>
      <c r="F47" s="28" t="s">
        <v>85</v>
      </c>
      <c r="G47" s="80">
        <f>G48</f>
        <v>304112.65000000002</v>
      </c>
      <c r="H47" s="8">
        <f>H48</f>
        <v>185444</v>
      </c>
      <c r="I47" s="83">
        <f>I48</f>
        <v>190162.56</v>
      </c>
      <c r="J47" s="82">
        <f t="shared" si="0"/>
        <v>62.530302504680414</v>
      </c>
      <c r="K47" s="82">
        <f t="shared" si="2"/>
        <v>102.54446625396345</v>
      </c>
    </row>
    <row r="48" spans="2:11" x14ac:dyDescent="0.25">
      <c r="B48" s="11"/>
      <c r="C48" s="11"/>
      <c r="D48" s="11"/>
      <c r="E48" s="11">
        <v>9221</v>
      </c>
      <c r="F48" s="28" t="s">
        <v>86</v>
      </c>
      <c r="G48" s="80">
        <v>304112.65000000002</v>
      </c>
      <c r="H48" s="8">
        <v>185444</v>
      </c>
      <c r="I48" s="83">
        <v>190162.56</v>
      </c>
      <c r="J48" s="82">
        <f t="shared" si="0"/>
        <v>62.530302504680414</v>
      </c>
      <c r="K48" s="82">
        <f t="shared" si="2"/>
        <v>102.54446625396345</v>
      </c>
    </row>
    <row r="49" spans="2:11" s="56" customFormat="1" x14ac:dyDescent="0.25">
      <c r="B49" s="147" t="s">
        <v>87</v>
      </c>
      <c r="C49" s="148"/>
      <c r="D49" s="148"/>
      <c r="E49" s="148"/>
      <c r="F49" s="149"/>
      <c r="G49" s="82">
        <f>G11+G41+G46</f>
        <v>3370610.2811573423</v>
      </c>
      <c r="H49" s="61">
        <f>H11+H41+H46</f>
        <v>3480699.5300000003</v>
      </c>
      <c r="I49" s="82">
        <f>I10+I45</f>
        <v>3480316.89</v>
      </c>
      <c r="J49" s="82">
        <f t="shared" si="0"/>
        <v>103.25479956718664</v>
      </c>
      <c r="K49" s="82">
        <f t="shared" si="2"/>
        <v>99.989006807490782</v>
      </c>
    </row>
    <row r="51" spans="2:11" ht="18" x14ac:dyDescent="0.25">
      <c r="B51" s="3"/>
      <c r="C51" s="3"/>
      <c r="D51" s="3"/>
      <c r="E51" s="3"/>
      <c r="F51" s="3"/>
      <c r="G51" s="3"/>
      <c r="H51" s="3"/>
      <c r="I51" s="4"/>
      <c r="J51" s="4"/>
      <c r="K51" s="4"/>
    </row>
    <row r="52" spans="2:11" ht="36.75" customHeight="1" x14ac:dyDescent="0.25">
      <c r="B52" s="150" t="s">
        <v>8</v>
      </c>
      <c r="C52" s="151"/>
      <c r="D52" s="151"/>
      <c r="E52" s="151"/>
      <c r="F52" s="152"/>
      <c r="G52" s="39" t="s">
        <v>154</v>
      </c>
      <c r="H52" s="39" t="s">
        <v>64</v>
      </c>
      <c r="I52" s="39" t="s">
        <v>155</v>
      </c>
      <c r="J52" s="39" t="s">
        <v>30</v>
      </c>
      <c r="K52" s="39" t="s">
        <v>62</v>
      </c>
    </row>
    <row r="53" spans="2:11" x14ac:dyDescent="0.25">
      <c r="B53" s="153">
        <v>1</v>
      </c>
      <c r="C53" s="154"/>
      <c r="D53" s="154"/>
      <c r="E53" s="154"/>
      <c r="F53" s="155"/>
      <c r="G53" s="42">
        <v>2</v>
      </c>
      <c r="H53" s="42">
        <v>3</v>
      </c>
      <c r="I53" s="42">
        <v>4</v>
      </c>
      <c r="J53" s="42" t="s">
        <v>125</v>
      </c>
      <c r="K53" s="42" t="s">
        <v>185</v>
      </c>
    </row>
    <row r="54" spans="2:11" s="56" customFormat="1" x14ac:dyDescent="0.25">
      <c r="B54" s="10"/>
      <c r="C54" s="10"/>
      <c r="D54" s="10"/>
      <c r="E54" s="10"/>
      <c r="F54" s="10" t="s">
        <v>59</v>
      </c>
      <c r="G54" s="78">
        <f>G55+G106</f>
        <v>3161544.1114154886</v>
      </c>
      <c r="H54" s="60">
        <f>H55+H106</f>
        <v>3480699.53</v>
      </c>
      <c r="I54" s="82">
        <f>I55+I106</f>
        <v>3415956.4</v>
      </c>
      <c r="J54" s="82">
        <f t="shared" ref="J54:J70" si="4">I54/G54*100</f>
        <v>108.04708963781012</v>
      </c>
      <c r="K54" s="82">
        <f t="shared" ref="K54:K64" si="5">I54/H54*100</f>
        <v>98.139939128845171</v>
      </c>
    </row>
    <row r="55" spans="2:11" s="56" customFormat="1" x14ac:dyDescent="0.25">
      <c r="B55" s="10">
        <v>3</v>
      </c>
      <c r="C55" s="10"/>
      <c r="D55" s="10"/>
      <c r="E55" s="10"/>
      <c r="F55" s="10" t="s">
        <v>4</v>
      </c>
      <c r="G55" s="78">
        <f>G56+G66+G98</f>
        <v>3152314.1414154884</v>
      </c>
      <c r="H55" s="60">
        <f>H56+H66+H98+H103</f>
        <v>3421791.53</v>
      </c>
      <c r="I55" s="82">
        <f>I56+I66+I98+I103</f>
        <v>3364668.62</v>
      </c>
      <c r="J55" s="82">
        <f t="shared" si="4"/>
        <v>106.73646308895972</v>
      </c>
      <c r="K55" s="82">
        <f t="shared" si="5"/>
        <v>98.330613963498834</v>
      </c>
    </row>
    <row r="56" spans="2:11" x14ac:dyDescent="0.25">
      <c r="B56" s="10"/>
      <c r="C56" s="14">
        <v>31</v>
      </c>
      <c r="D56" s="14"/>
      <c r="E56" s="14"/>
      <c r="F56" s="14" t="s">
        <v>5</v>
      </c>
      <c r="G56" s="80">
        <f>G57+G61+G63</f>
        <v>2564803.4314154885</v>
      </c>
      <c r="H56" s="8">
        <v>2850235</v>
      </c>
      <c r="I56" s="83">
        <f>I57+I61+I63</f>
        <v>2824938.41</v>
      </c>
      <c r="J56" s="82">
        <f t="shared" si="4"/>
        <v>110.14249183380677</v>
      </c>
      <c r="K56" s="82">
        <f t="shared" si="5"/>
        <v>99.112473532884138</v>
      </c>
    </row>
    <row r="57" spans="2:11" x14ac:dyDescent="0.25">
      <c r="B57" s="11"/>
      <c r="C57" s="11"/>
      <c r="D57" s="11">
        <v>311</v>
      </c>
      <c r="E57" s="11"/>
      <c r="F57" s="11" t="s">
        <v>41</v>
      </c>
      <c r="G57" s="80">
        <f>G58+G59+G60</f>
        <v>2115021.4591545556</v>
      </c>
      <c r="H57" s="8">
        <f>H58+H59+H60</f>
        <v>2346450</v>
      </c>
      <c r="I57" s="83">
        <f>SUM(I58:I60)</f>
        <v>2322493.4500000002</v>
      </c>
      <c r="J57" s="82">
        <f t="shared" si="4"/>
        <v>109.80945086620434</v>
      </c>
      <c r="K57" s="82">
        <f t="shared" si="5"/>
        <v>98.979030024078938</v>
      </c>
    </row>
    <row r="58" spans="2:11" x14ac:dyDescent="0.25">
      <c r="B58" s="11"/>
      <c r="C58" s="11"/>
      <c r="D58" s="11"/>
      <c r="E58" s="11">
        <v>3111</v>
      </c>
      <c r="F58" s="11" t="s">
        <v>42</v>
      </c>
      <c r="G58" s="80">
        <v>1989592</v>
      </c>
      <c r="H58" s="8">
        <v>2202580</v>
      </c>
      <c r="I58" s="83">
        <v>2182534.65</v>
      </c>
      <c r="J58" s="82">
        <f t="shared" si="4"/>
        <v>109.69759880417693</v>
      </c>
      <c r="K58" s="82">
        <f t="shared" si="5"/>
        <v>99.089915008762446</v>
      </c>
    </row>
    <row r="59" spans="2:11" x14ac:dyDescent="0.25">
      <c r="B59" s="11"/>
      <c r="C59" s="11"/>
      <c r="D59" s="11"/>
      <c r="E59" s="11">
        <v>3113</v>
      </c>
      <c r="F59" s="11" t="s">
        <v>199</v>
      </c>
      <c r="G59" s="80">
        <f>679028.5/7.5345</f>
        <v>90122.569513570896</v>
      </c>
      <c r="H59" s="8">
        <f>92000+1870</f>
        <v>93870</v>
      </c>
      <c r="I59" s="83">
        <v>91338.89</v>
      </c>
      <c r="J59" s="82">
        <f t="shared" si="4"/>
        <v>101.34962916946786</v>
      </c>
      <c r="K59" s="82">
        <f t="shared" si="5"/>
        <v>97.303600724406095</v>
      </c>
    </row>
    <row r="60" spans="2:11" x14ac:dyDescent="0.25">
      <c r="B60" s="11"/>
      <c r="C60" s="11"/>
      <c r="D60" s="11"/>
      <c r="E60" s="11">
        <v>3114</v>
      </c>
      <c r="F60" s="11" t="s">
        <v>200</v>
      </c>
      <c r="G60" s="80">
        <f>266019.76/7.5345</f>
        <v>35306.889640984802</v>
      </c>
      <c r="H60" s="8">
        <v>50000</v>
      </c>
      <c r="I60" s="83">
        <v>48619.91</v>
      </c>
      <c r="J60" s="82">
        <f t="shared" si="4"/>
        <v>137.70657935147375</v>
      </c>
      <c r="K60" s="82">
        <f t="shared" si="5"/>
        <v>97.239820000000009</v>
      </c>
    </row>
    <row r="61" spans="2:11" x14ac:dyDescent="0.25">
      <c r="B61" s="11"/>
      <c r="C61" s="11"/>
      <c r="D61" s="11">
        <v>312</v>
      </c>
      <c r="E61" s="11"/>
      <c r="F61" s="11" t="s">
        <v>162</v>
      </c>
      <c r="G61" s="80">
        <f>G62</f>
        <v>100018.19629703363</v>
      </c>
      <c r="H61" s="8">
        <f>H62</f>
        <v>115475</v>
      </c>
      <c r="I61" s="83">
        <f>I62</f>
        <v>118987.39</v>
      </c>
      <c r="J61" s="82">
        <f t="shared" si="4"/>
        <v>118.96574264010094</v>
      </c>
      <c r="K61" s="82">
        <f t="shared" si="5"/>
        <v>103.04168867720284</v>
      </c>
    </row>
    <row r="62" spans="2:11" x14ac:dyDescent="0.25">
      <c r="B62" s="11"/>
      <c r="C62" s="11"/>
      <c r="D62" s="11"/>
      <c r="E62" s="11">
        <v>3121</v>
      </c>
      <c r="F62" s="11" t="s">
        <v>162</v>
      </c>
      <c r="G62" s="80">
        <f>753587.1/7.5345</f>
        <v>100018.19629703363</v>
      </c>
      <c r="H62" s="8">
        <f>113000+525+1950</f>
        <v>115475</v>
      </c>
      <c r="I62" s="83">
        <v>118987.39</v>
      </c>
      <c r="J62" s="82">
        <f t="shared" si="4"/>
        <v>118.96574264010094</v>
      </c>
      <c r="K62" s="82">
        <f t="shared" si="5"/>
        <v>103.04168867720284</v>
      </c>
    </row>
    <row r="63" spans="2:11" x14ac:dyDescent="0.25">
      <c r="B63" s="11"/>
      <c r="C63" s="11"/>
      <c r="D63" s="11">
        <v>313</v>
      </c>
      <c r="E63" s="11"/>
      <c r="F63" s="11" t="s">
        <v>201</v>
      </c>
      <c r="G63" s="80">
        <f>G64+G65</f>
        <v>349763.77596389933</v>
      </c>
      <c r="H63" s="8">
        <f>H64</f>
        <v>388310</v>
      </c>
      <c r="I63" s="83">
        <f>I64+I65</f>
        <v>383457.56999999995</v>
      </c>
      <c r="J63" s="82">
        <f t="shared" si="4"/>
        <v>109.63330005894558</v>
      </c>
      <c r="K63" s="82">
        <f t="shared" si="5"/>
        <v>98.750372125363739</v>
      </c>
    </row>
    <row r="64" spans="2:11" x14ac:dyDescent="0.25">
      <c r="B64" s="11"/>
      <c r="C64" s="11"/>
      <c r="D64" s="11"/>
      <c r="E64" s="11">
        <v>3132</v>
      </c>
      <c r="F64" s="11" t="s">
        <v>163</v>
      </c>
      <c r="G64" s="80">
        <f>2627978.82/7.5345</f>
        <v>348792.72944455501</v>
      </c>
      <c r="H64" s="8">
        <f>2200+365000+4950+12210+2195+1755</f>
        <v>388310</v>
      </c>
      <c r="I64" s="83">
        <v>383425.85</v>
      </c>
      <c r="J64" s="82">
        <f t="shared" si="4"/>
        <v>109.92942731650326</v>
      </c>
      <c r="K64" s="82">
        <f t="shared" si="5"/>
        <v>98.742203394195343</v>
      </c>
    </row>
    <row r="65" spans="2:13" ht="29.25" customHeight="1" x14ac:dyDescent="0.25">
      <c r="B65" s="11"/>
      <c r="C65" s="11"/>
      <c r="D65" s="11"/>
      <c r="E65" s="11">
        <v>3133</v>
      </c>
      <c r="F65" s="28" t="s">
        <v>202</v>
      </c>
      <c r="G65" s="80">
        <f>7316.35/7.5345</f>
        <v>971.04651934434935</v>
      </c>
      <c r="H65" s="8">
        <v>0</v>
      </c>
      <c r="I65" s="83">
        <v>31.72</v>
      </c>
      <c r="J65" s="82">
        <f t="shared" si="4"/>
        <v>3.2665788268740559</v>
      </c>
      <c r="K65" s="84" t="s">
        <v>117</v>
      </c>
    </row>
    <row r="66" spans="2:13" x14ac:dyDescent="0.25">
      <c r="B66" s="11"/>
      <c r="C66" s="11">
        <v>32</v>
      </c>
      <c r="D66" s="12"/>
      <c r="E66" s="12"/>
      <c r="F66" s="11" t="s">
        <v>13</v>
      </c>
      <c r="G66" s="80">
        <f>G67+G72+G79+G89+G91</f>
        <v>562482.71</v>
      </c>
      <c r="H66" s="8">
        <v>568603.09</v>
      </c>
      <c r="I66" s="83">
        <f>I67+I72+I79+I89+I91</f>
        <v>536103.43999999994</v>
      </c>
      <c r="J66" s="82">
        <f t="shared" si="4"/>
        <v>95.310207846210943</v>
      </c>
      <c r="K66" s="82">
        <f>I66/H66*100</f>
        <v>94.284299439878168</v>
      </c>
    </row>
    <row r="67" spans="2:13" x14ac:dyDescent="0.25">
      <c r="B67" s="11"/>
      <c r="C67" s="11"/>
      <c r="D67" s="11">
        <v>321</v>
      </c>
      <c r="E67" s="11"/>
      <c r="F67" s="11" t="s">
        <v>43</v>
      </c>
      <c r="G67" s="80">
        <f>G68+G69+G70</f>
        <v>185114.23999999999</v>
      </c>
      <c r="H67" s="8">
        <f>H68+H69+H70</f>
        <v>198724.72</v>
      </c>
      <c r="I67" s="83">
        <f>SUM(I68:I71)</f>
        <v>183539.84</v>
      </c>
      <c r="J67" s="82">
        <f t="shared" si="4"/>
        <v>99.149498169346671</v>
      </c>
      <c r="K67" s="82">
        <f>I67/H67*100</f>
        <v>92.358836887529634</v>
      </c>
    </row>
    <row r="68" spans="2:13" x14ac:dyDescent="0.25">
      <c r="B68" s="11"/>
      <c r="C68" s="19"/>
      <c r="D68" s="11"/>
      <c r="E68" s="11">
        <v>3211</v>
      </c>
      <c r="F68" s="28" t="s">
        <v>44</v>
      </c>
      <c r="G68" s="80">
        <f>78884.34</f>
        <v>78884.34</v>
      </c>
      <c r="H68" s="8">
        <f>300+870+5300+60000</f>
        <v>66470</v>
      </c>
      <c r="I68" s="83">
        <v>54643.78</v>
      </c>
      <c r="J68" s="82">
        <f t="shared" si="4"/>
        <v>69.270757668759103</v>
      </c>
      <c r="K68" s="82">
        <f>I68/H68*100</f>
        <v>82.20818414322251</v>
      </c>
    </row>
    <row r="69" spans="2:13" x14ac:dyDescent="0.25">
      <c r="B69" s="11"/>
      <c r="C69" s="19"/>
      <c r="D69" s="11"/>
      <c r="E69" s="11">
        <v>3212</v>
      </c>
      <c r="F69" s="28" t="s">
        <v>203</v>
      </c>
      <c r="G69" s="80">
        <f>105238.63</f>
        <v>105238.63</v>
      </c>
      <c r="H69" s="8">
        <f>119988.72+1630+7300+1330+906</f>
        <v>131154.72</v>
      </c>
      <c r="I69" s="83">
        <v>127470.16</v>
      </c>
      <c r="J69" s="82">
        <f t="shared" si="4"/>
        <v>121.12487591296086</v>
      </c>
      <c r="K69" s="82">
        <f>I69/H69*100</f>
        <v>97.190676782352938</v>
      </c>
    </row>
    <row r="70" spans="2:13" x14ac:dyDescent="0.25">
      <c r="B70" s="11"/>
      <c r="C70" s="19"/>
      <c r="D70" s="11"/>
      <c r="E70" s="11">
        <v>3213</v>
      </c>
      <c r="F70" s="28" t="s">
        <v>88</v>
      </c>
      <c r="G70" s="80">
        <v>991.27</v>
      </c>
      <c r="H70" s="8">
        <f>1100</f>
        <v>1100</v>
      </c>
      <c r="I70" s="83">
        <v>1377.9</v>
      </c>
      <c r="J70" s="82">
        <f t="shared" si="4"/>
        <v>139.00350055988784</v>
      </c>
      <c r="K70" s="82">
        <f>I70/H70*100</f>
        <v>125.26363636363638</v>
      </c>
    </row>
    <row r="71" spans="2:13" x14ac:dyDescent="0.25">
      <c r="B71" s="11"/>
      <c r="C71" s="19"/>
      <c r="D71" s="11"/>
      <c r="E71" s="11">
        <v>3214</v>
      </c>
      <c r="F71" s="28" t="s">
        <v>231</v>
      </c>
      <c r="G71" s="80"/>
      <c r="H71" s="8"/>
      <c r="I71" s="83">
        <v>48</v>
      </c>
      <c r="J71" s="84" t="s">
        <v>117</v>
      </c>
      <c r="K71" s="84" t="s">
        <v>117</v>
      </c>
    </row>
    <row r="72" spans="2:13" x14ac:dyDescent="0.25">
      <c r="B72" s="11"/>
      <c r="C72" s="11"/>
      <c r="D72" s="11">
        <v>322</v>
      </c>
      <c r="E72" s="11"/>
      <c r="F72" s="11" t="s">
        <v>106</v>
      </c>
      <c r="G72" s="80">
        <f>SUM(G73:G78)</f>
        <v>104806.37000000001</v>
      </c>
      <c r="H72" s="8">
        <f>SUM(H73:H78)</f>
        <v>124646.57</v>
      </c>
      <c r="I72" s="83">
        <f>SUM(I73:I78)</f>
        <v>113340.71999999999</v>
      </c>
      <c r="J72" s="82">
        <f t="shared" ref="J72:J102" si="6">I72/G72*100</f>
        <v>108.14296879092366</v>
      </c>
      <c r="K72" s="82">
        <f t="shared" ref="K72:K84" si="7">I72/H72*100</f>
        <v>90.929674198014425</v>
      </c>
    </row>
    <row r="73" spans="2:13" x14ac:dyDescent="0.25">
      <c r="B73" s="11"/>
      <c r="C73" s="19"/>
      <c r="D73" s="11"/>
      <c r="E73" s="11">
        <v>3221</v>
      </c>
      <c r="F73" s="28" t="s">
        <v>89</v>
      </c>
      <c r="G73" s="80">
        <v>15155.44</v>
      </c>
      <c r="H73" s="8">
        <f>5869.57+712.09+820.82+1000+2600+4500+660</f>
        <v>16162.48</v>
      </c>
      <c r="I73" s="83">
        <v>13827.41</v>
      </c>
      <c r="J73" s="82">
        <f t="shared" si="6"/>
        <v>91.23727189708778</v>
      </c>
      <c r="K73" s="82">
        <f t="shared" si="7"/>
        <v>85.552526592453631</v>
      </c>
    </row>
    <row r="74" spans="2:13" x14ac:dyDescent="0.25">
      <c r="B74" s="11"/>
      <c r="C74" s="19"/>
      <c r="D74" s="11"/>
      <c r="E74" s="11">
        <v>3222</v>
      </c>
      <c r="F74" s="28" t="s">
        <v>90</v>
      </c>
      <c r="G74" s="80">
        <v>23757.08</v>
      </c>
      <c r="H74" s="8">
        <f>4021.32+3550+2000+3050+1500+292+3440+700</f>
        <v>18553.32</v>
      </c>
      <c r="I74" s="83">
        <v>19321.59</v>
      </c>
      <c r="J74" s="82">
        <f t="shared" si="6"/>
        <v>81.329818311004544</v>
      </c>
      <c r="K74" s="82">
        <f t="shared" si="7"/>
        <v>104.14087613429834</v>
      </c>
    </row>
    <row r="75" spans="2:13" x14ac:dyDescent="0.25">
      <c r="B75" s="11"/>
      <c r="C75" s="19"/>
      <c r="D75" s="11"/>
      <c r="E75" s="11">
        <v>3223</v>
      </c>
      <c r="F75" s="28" t="s">
        <v>91</v>
      </c>
      <c r="G75" s="80">
        <v>54636.01</v>
      </c>
      <c r="H75" s="8">
        <f>13633.96+33038.43+6613.08+12736.91+550.02+100+830+3200+10000</f>
        <v>80702.400000000009</v>
      </c>
      <c r="I75" s="83">
        <v>71183.649999999994</v>
      </c>
      <c r="J75" s="82">
        <f t="shared" si="6"/>
        <v>130.2870579312069</v>
      </c>
      <c r="K75" s="82">
        <f t="shared" si="7"/>
        <v>88.205121532940765</v>
      </c>
    </row>
    <row r="76" spans="2:13" x14ac:dyDescent="0.25">
      <c r="B76" s="11"/>
      <c r="C76" s="19"/>
      <c r="D76" s="11"/>
      <c r="E76" s="11">
        <v>3224</v>
      </c>
      <c r="F76" s="28" t="s">
        <v>92</v>
      </c>
      <c r="G76" s="80">
        <v>3798.99</v>
      </c>
      <c r="H76" s="8">
        <f>1093.99+1628.98+1720+1000+65</f>
        <v>5507.97</v>
      </c>
      <c r="I76" s="83">
        <v>5395.98</v>
      </c>
      <c r="J76" s="82">
        <f t="shared" si="6"/>
        <v>142.03722568366854</v>
      </c>
      <c r="K76" s="82">
        <f t="shared" si="7"/>
        <v>97.966764524861233</v>
      </c>
    </row>
    <row r="77" spans="2:13" x14ac:dyDescent="0.25">
      <c r="B77" s="11"/>
      <c r="C77" s="19"/>
      <c r="D77" s="11"/>
      <c r="E77" s="11">
        <v>3225</v>
      </c>
      <c r="F77" s="28" t="s">
        <v>204</v>
      </c>
      <c r="G77" s="80">
        <v>1495.32</v>
      </c>
      <c r="H77" s="8">
        <f>579.4+530+81</f>
        <v>1190.4000000000001</v>
      </c>
      <c r="I77" s="83">
        <v>1106.5899999999999</v>
      </c>
      <c r="J77" s="82">
        <f t="shared" si="6"/>
        <v>74.003557766899391</v>
      </c>
      <c r="K77" s="82">
        <f t="shared" si="7"/>
        <v>92.959509408602131</v>
      </c>
    </row>
    <row r="78" spans="2:13" x14ac:dyDescent="0.25">
      <c r="B78" s="11"/>
      <c r="C78" s="19"/>
      <c r="D78" s="11"/>
      <c r="E78" s="11">
        <v>3227</v>
      </c>
      <c r="F78" s="28" t="s">
        <v>94</v>
      </c>
      <c r="G78" s="80">
        <v>5963.53</v>
      </c>
      <c r="H78" s="8">
        <f>350+180+2000</f>
        <v>2530</v>
      </c>
      <c r="I78" s="83">
        <v>2505.5</v>
      </c>
      <c r="J78" s="82">
        <f t="shared" si="6"/>
        <v>42.013706646902087</v>
      </c>
      <c r="K78" s="82">
        <f t="shared" si="7"/>
        <v>99.031620553359673</v>
      </c>
      <c r="M78" s="68"/>
    </row>
    <row r="79" spans="2:13" x14ac:dyDescent="0.25">
      <c r="B79" s="11"/>
      <c r="C79" s="11"/>
      <c r="D79" s="11">
        <v>323</v>
      </c>
      <c r="E79" s="11"/>
      <c r="F79" s="11" t="s">
        <v>107</v>
      </c>
      <c r="G79" s="80">
        <f>SUM(G80:G88)</f>
        <v>105349.49000000002</v>
      </c>
      <c r="H79" s="8">
        <f>SUM(H80:H88)</f>
        <v>142473.79999999999</v>
      </c>
      <c r="I79" s="83">
        <f>SUM(I80:I88)</f>
        <v>135656.93</v>
      </c>
      <c r="J79" s="82">
        <f t="shared" si="6"/>
        <v>128.76847339270458</v>
      </c>
      <c r="K79" s="82">
        <f t="shared" si="7"/>
        <v>95.21535187522197</v>
      </c>
    </row>
    <row r="80" spans="2:13" x14ac:dyDescent="0.25">
      <c r="B80" s="11"/>
      <c r="C80" s="19"/>
      <c r="D80" s="11"/>
      <c r="E80" s="11">
        <v>3231</v>
      </c>
      <c r="F80" s="28" t="s">
        <v>95</v>
      </c>
      <c r="G80" s="80">
        <v>8738.09</v>
      </c>
      <c r="H80" s="8">
        <f>1327+660+341.89+379.32+1360+160+100</f>
        <v>4328.21</v>
      </c>
      <c r="I80" s="83">
        <v>5642.42</v>
      </c>
      <c r="J80" s="82">
        <f t="shared" si="6"/>
        <v>64.572692659379797</v>
      </c>
      <c r="K80" s="82">
        <f t="shared" si="7"/>
        <v>130.36382245778276</v>
      </c>
    </row>
    <row r="81" spans="2:13" x14ac:dyDescent="0.25">
      <c r="B81" s="11"/>
      <c r="C81" s="19"/>
      <c r="D81" s="11"/>
      <c r="E81" s="11">
        <v>3232</v>
      </c>
      <c r="F81" s="28" t="s">
        <v>96</v>
      </c>
      <c r="G81" s="80">
        <v>12155.92</v>
      </c>
      <c r="H81" s="8">
        <f>3188.66+2164.68+3500+220+65</f>
        <v>9138.34</v>
      </c>
      <c r="I81" s="83">
        <v>8890.3700000000008</v>
      </c>
      <c r="J81" s="82">
        <f t="shared" si="6"/>
        <v>73.136134492494193</v>
      </c>
      <c r="K81" s="82">
        <f t="shared" si="7"/>
        <v>97.2864874802207</v>
      </c>
    </row>
    <row r="82" spans="2:13" x14ac:dyDescent="0.25">
      <c r="B82" s="11"/>
      <c r="C82" s="19"/>
      <c r="D82" s="11"/>
      <c r="E82" s="11">
        <v>3233</v>
      </c>
      <c r="F82" s="28" t="s">
        <v>97</v>
      </c>
      <c r="G82" s="80">
        <v>172.02</v>
      </c>
      <c r="H82" s="8">
        <f>60</f>
        <v>60</v>
      </c>
      <c r="I82" s="83">
        <v>58.87</v>
      </c>
      <c r="J82" s="82">
        <f t="shared" si="6"/>
        <v>34.222764794791303</v>
      </c>
      <c r="K82" s="82">
        <f t="shared" si="7"/>
        <v>98.11666666666666</v>
      </c>
      <c r="M82" s="68"/>
    </row>
    <row r="83" spans="2:13" x14ac:dyDescent="0.25">
      <c r="B83" s="11"/>
      <c r="C83" s="19"/>
      <c r="D83" s="11"/>
      <c r="E83" s="11">
        <v>3234</v>
      </c>
      <c r="F83" s="28" t="s">
        <v>98</v>
      </c>
      <c r="G83" s="80">
        <v>9955.01</v>
      </c>
      <c r="H83" s="8">
        <f>9257.84+1705.32</f>
        <v>10963.16</v>
      </c>
      <c r="I83" s="83">
        <v>10323.16</v>
      </c>
      <c r="J83" s="82">
        <f t="shared" si="6"/>
        <v>103.69813792251338</v>
      </c>
      <c r="K83" s="82">
        <f t="shared" si="7"/>
        <v>94.162267083578087</v>
      </c>
    </row>
    <row r="84" spans="2:13" x14ac:dyDescent="0.25">
      <c r="B84" s="11"/>
      <c r="C84" s="19"/>
      <c r="D84" s="11"/>
      <c r="E84" s="11">
        <v>3235</v>
      </c>
      <c r="F84" s="28" t="s">
        <v>161</v>
      </c>
      <c r="G84" s="80">
        <v>35071.47</v>
      </c>
      <c r="H84" s="8">
        <f>26452.29+8619.15</f>
        <v>35071.440000000002</v>
      </c>
      <c r="I84" s="83">
        <v>32297.53</v>
      </c>
      <c r="J84" s="82">
        <f t="shared" si="6"/>
        <v>92.090608121073899</v>
      </c>
      <c r="K84" s="82">
        <f t="shared" si="7"/>
        <v>92.090686895091835</v>
      </c>
    </row>
    <row r="85" spans="2:13" x14ac:dyDescent="0.25">
      <c r="B85" s="11"/>
      <c r="C85" s="19"/>
      <c r="D85" s="11"/>
      <c r="E85" s="11">
        <v>3236</v>
      </c>
      <c r="F85" s="28" t="s">
        <v>99</v>
      </c>
      <c r="G85" s="80">
        <v>1975.91</v>
      </c>
      <c r="H85" s="8">
        <v>0</v>
      </c>
      <c r="I85" s="83">
        <v>0</v>
      </c>
      <c r="J85" s="82">
        <f t="shared" si="6"/>
        <v>0</v>
      </c>
      <c r="K85" s="84" t="s">
        <v>117</v>
      </c>
    </row>
    <row r="86" spans="2:13" x14ac:dyDescent="0.25">
      <c r="B86" s="11"/>
      <c r="C86" s="19"/>
      <c r="D86" s="11"/>
      <c r="E86" s="11">
        <v>3237</v>
      </c>
      <c r="F86" s="28" t="s">
        <v>116</v>
      </c>
      <c r="G86" s="80">
        <v>28071.56</v>
      </c>
      <c r="H86" s="8">
        <f>40348+19240+13200</f>
        <v>72788</v>
      </c>
      <c r="I86" s="83">
        <v>72907.28</v>
      </c>
      <c r="J86" s="82">
        <f t="shared" si="6"/>
        <v>259.71937434186054</v>
      </c>
      <c r="K86" s="82">
        <f t="shared" ref="K86:K100" si="8">I86/H86*100</f>
        <v>100.16387316590647</v>
      </c>
    </row>
    <row r="87" spans="2:13" x14ac:dyDescent="0.25">
      <c r="B87" s="11"/>
      <c r="C87" s="19"/>
      <c r="D87" s="11"/>
      <c r="E87" s="11">
        <v>3238</v>
      </c>
      <c r="F87" s="28" t="s">
        <v>100</v>
      </c>
      <c r="G87" s="80">
        <v>1658.35</v>
      </c>
      <c r="H87" s="8">
        <f>530+1934.65</f>
        <v>2464.65</v>
      </c>
      <c r="I87" s="83">
        <v>2499.37</v>
      </c>
      <c r="J87" s="82">
        <f t="shared" si="6"/>
        <v>150.71426417824946</v>
      </c>
      <c r="K87" s="82">
        <f t="shared" si="8"/>
        <v>101.40871929077151</v>
      </c>
    </row>
    <row r="88" spans="2:13" x14ac:dyDescent="0.25">
      <c r="B88" s="11"/>
      <c r="C88" s="19"/>
      <c r="D88" s="11"/>
      <c r="E88" s="11">
        <v>3239</v>
      </c>
      <c r="F88" s="28" t="s">
        <v>101</v>
      </c>
      <c r="G88" s="80">
        <v>7551.16</v>
      </c>
      <c r="H88" s="8">
        <f>2660+5000</f>
        <v>7660</v>
      </c>
      <c r="I88" s="83">
        <v>3037.93</v>
      </c>
      <c r="J88" s="82">
        <f t="shared" si="6"/>
        <v>40.231302210521299</v>
      </c>
      <c r="K88" s="82">
        <f t="shared" si="8"/>
        <v>39.659660574412534</v>
      </c>
    </row>
    <row r="89" spans="2:13" x14ac:dyDescent="0.25">
      <c r="B89" s="11"/>
      <c r="C89" s="11"/>
      <c r="D89" s="11">
        <v>324</v>
      </c>
      <c r="E89" s="11"/>
      <c r="F89" s="11" t="s">
        <v>205</v>
      </c>
      <c r="G89" s="80">
        <f>G90</f>
        <v>130132.75</v>
      </c>
      <c r="H89" s="8">
        <f>H90</f>
        <v>87600</v>
      </c>
      <c r="I89" s="83">
        <f>I90</f>
        <v>87331.26</v>
      </c>
      <c r="J89" s="82">
        <f t="shared" si="6"/>
        <v>67.109363323221856</v>
      </c>
      <c r="K89" s="82">
        <f t="shared" si="8"/>
        <v>99.693219178082188</v>
      </c>
    </row>
    <row r="90" spans="2:13" x14ac:dyDescent="0.25">
      <c r="B90" s="11"/>
      <c r="C90" s="19"/>
      <c r="D90" s="11"/>
      <c r="E90" s="11">
        <v>3241</v>
      </c>
      <c r="F90" s="28" t="s">
        <v>205</v>
      </c>
      <c r="G90" s="80">
        <v>130132.75</v>
      </c>
      <c r="H90" s="8">
        <f>600+87000</f>
        <v>87600</v>
      </c>
      <c r="I90" s="83">
        <v>87331.26</v>
      </c>
      <c r="J90" s="82">
        <f t="shared" si="6"/>
        <v>67.109363323221856</v>
      </c>
      <c r="K90" s="82">
        <f t="shared" si="8"/>
        <v>99.693219178082188</v>
      </c>
    </row>
    <row r="91" spans="2:13" x14ac:dyDescent="0.25">
      <c r="B91" s="11"/>
      <c r="C91" s="11"/>
      <c r="D91" s="11">
        <v>329</v>
      </c>
      <c r="E91" s="11"/>
      <c r="F91" s="11" t="s">
        <v>105</v>
      </c>
      <c r="G91" s="80">
        <f>SUM(G92:G97)</f>
        <v>37079.86</v>
      </c>
      <c r="H91" s="8">
        <f>SUM(H92:H97)</f>
        <v>15158</v>
      </c>
      <c r="I91" s="83">
        <f>SUM(I92:I97)</f>
        <v>16234.689999999999</v>
      </c>
      <c r="J91" s="82">
        <f t="shared" si="6"/>
        <v>43.783040173290836</v>
      </c>
      <c r="K91" s="82">
        <f t="shared" si="8"/>
        <v>107.10311386726481</v>
      </c>
    </row>
    <row r="92" spans="2:13" x14ac:dyDescent="0.25">
      <c r="B92" s="11"/>
      <c r="C92" s="19"/>
      <c r="D92" s="11"/>
      <c r="E92" s="11">
        <v>3292</v>
      </c>
      <c r="F92" s="28" t="s">
        <v>102</v>
      </c>
      <c r="G92" s="80">
        <v>5050.34</v>
      </c>
      <c r="H92" s="8">
        <f>4700+1990</f>
        <v>6690</v>
      </c>
      <c r="I92" s="83">
        <v>5280.34</v>
      </c>
      <c r="J92" s="82">
        <f t="shared" si="6"/>
        <v>104.55414882958377</v>
      </c>
      <c r="K92" s="82">
        <f t="shared" si="8"/>
        <v>78.928849028400606</v>
      </c>
    </row>
    <row r="93" spans="2:13" x14ac:dyDescent="0.25">
      <c r="B93" s="11"/>
      <c r="C93" s="19"/>
      <c r="D93" s="11"/>
      <c r="E93" s="11">
        <v>3293</v>
      </c>
      <c r="F93" s="28" t="s">
        <v>103</v>
      </c>
      <c r="G93" s="80">
        <v>4745.99</v>
      </c>
      <c r="H93" s="8">
        <f>1500+2500</f>
        <v>4000</v>
      </c>
      <c r="I93" s="83">
        <v>3550.65</v>
      </c>
      <c r="J93" s="82">
        <f t="shared" si="6"/>
        <v>74.813684816023638</v>
      </c>
      <c r="K93" s="82">
        <f t="shared" si="8"/>
        <v>88.766249999999999</v>
      </c>
    </row>
    <row r="94" spans="2:13" x14ac:dyDescent="0.25">
      <c r="B94" s="11"/>
      <c r="C94" s="19"/>
      <c r="D94" s="11"/>
      <c r="E94" s="11">
        <v>3294</v>
      </c>
      <c r="F94" s="28" t="s">
        <v>206</v>
      </c>
      <c r="G94" s="80">
        <v>703.43</v>
      </c>
      <c r="H94" s="8">
        <f>662</f>
        <v>662</v>
      </c>
      <c r="I94" s="83">
        <v>712.7</v>
      </c>
      <c r="J94" s="82">
        <f t="shared" si="6"/>
        <v>101.31782835534453</v>
      </c>
      <c r="K94" s="82">
        <f t="shared" si="8"/>
        <v>107.65861027190333</v>
      </c>
    </row>
    <row r="95" spans="2:13" x14ac:dyDescent="0.25">
      <c r="B95" s="11"/>
      <c r="C95" s="19"/>
      <c r="D95" s="11"/>
      <c r="E95" s="11">
        <v>3295</v>
      </c>
      <c r="F95" s="28" t="s">
        <v>104</v>
      </c>
      <c r="G95" s="80">
        <v>4071.11</v>
      </c>
      <c r="H95" s="8">
        <f>420+66</f>
        <v>486</v>
      </c>
      <c r="I95" s="83">
        <v>534.04</v>
      </c>
      <c r="J95" s="82">
        <f t="shared" si="6"/>
        <v>13.117798340010461</v>
      </c>
      <c r="K95" s="82">
        <f t="shared" si="8"/>
        <v>109.88477366255142</v>
      </c>
    </row>
    <row r="96" spans="2:13" x14ac:dyDescent="0.25">
      <c r="B96" s="11"/>
      <c r="C96" s="19"/>
      <c r="D96" s="11"/>
      <c r="E96" s="11">
        <v>3296</v>
      </c>
      <c r="F96" s="28" t="s">
        <v>207</v>
      </c>
      <c r="G96" s="80">
        <v>20732.09</v>
      </c>
      <c r="H96" s="8">
        <f>920</f>
        <v>920</v>
      </c>
      <c r="I96" s="83">
        <v>912.47</v>
      </c>
      <c r="J96" s="82">
        <f t="shared" si="6"/>
        <v>4.4012446405548111</v>
      </c>
      <c r="K96" s="82">
        <f t="shared" si="8"/>
        <v>99.181521739130446</v>
      </c>
    </row>
    <row r="97" spans="2:11" x14ac:dyDescent="0.25">
      <c r="B97" s="11"/>
      <c r="C97" s="19"/>
      <c r="D97" s="11"/>
      <c r="E97" s="11">
        <v>3299</v>
      </c>
      <c r="F97" s="28" t="s">
        <v>105</v>
      </c>
      <c r="G97" s="80">
        <v>1776.9</v>
      </c>
      <c r="H97" s="8">
        <f>200+870+1330</f>
        <v>2400</v>
      </c>
      <c r="I97" s="83">
        <v>5244.49</v>
      </c>
      <c r="J97" s="82">
        <f t="shared" si="6"/>
        <v>295.14829196915974</v>
      </c>
      <c r="K97" s="82">
        <f t="shared" si="8"/>
        <v>218.52041666666665</v>
      </c>
    </row>
    <row r="98" spans="2:11" x14ac:dyDescent="0.25">
      <c r="B98" s="11"/>
      <c r="C98" s="11">
        <v>34</v>
      </c>
      <c r="D98" s="12"/>
      <c r="E98" s="12"/>
      <c r="F98" s="11" t="s">
        <v>108</v>
      </c>
      <c r="G98" s="80">
        <v>25028</v>
      </c>
      <c r="H98" s="8">
        <v>1908.44</v>
      </c>
      <c r="I98" s="83">
        <f>I99</f>
        <v>2582.65</v>
      </c>
      <c r="J98" s="82">
        <f t="shared" si="6"/>
        <v>10.319042672207129</v>
      </c>
      <c r="K98" s="82">
        <f t="shared" si="8"/>
        <v>135.32780700467399</v>
      </c>
    </row>
    <row r="99" spans="2:11" x14ac:dyDescent="0.25">
      <c r="B99" s="11"/>
      <c r="C99" s="11"/>
      <c r="D99" s="11">
        <v>343</v>
      </c>
      <c r="E99" s="11"/>
      <c r="F99" s="11" t="s">
        <v>109</v>
      </c>
      <c r="G99" s="80">
        <f>SUM(G100:G102)</f>
        <v>25028.16</v>
      </c>
      <c r="H99" s="8">
        <f>SUM(H100:H102)</f>
        <v>1908.44</v>
      </c>
      <c r="I99" s="83">
        <f>SUM(I100:I102)</f>
        <v>2582.65</v>
      </c>
      <c r="J99" s="82">
        <f t="shared" si="6"/>
        <v>10.318976704639894</v>
      </c>
      <c r="K99" s="82">
        <f t="shared" si="8"/>
        <v>135.32780700467399</v>
      </c>
    </row>
    <row r="100" spans="2:11" x14ac:dyDescent="0.25">
      <c r="B100" s="11"/>
      <c r="C100" s="19"/>
      <c r="D100" s="11"/>
      <c r="E100" s="11">
        <v>3431</v>
      </c>
      <c r="F100" s="28" t="s">
        <v>110</v>
      </c>
      <c r="G100" s="80">
        <v>1702.76</v>
      </c>
      <c r="H100" s="8">
        <f>530+268.44+160</f>
        <v>958.44</v>
      </c>
      <c r="I100" s="83">
        <v>1628.89</v>
      </c>
      <c r="J100" s="82">
        <f t="shared" si="6"/>
        <v>95.661749160186986</v>
      </c>
      <c r="K100" s="82">
        <f t="shared" si="8"/>
        <v>169.95221401444013</v>
      </c>
    </row>
    <row r="101" spans="2:11" ht="25.5" x14ac:dyDescent="0.25">
      <c r="B101" s="11"/>
      <c r="C101" s="19"/>
      <c r="D101" s="11"/>
      <c r="E101" s="11">
        <v>3432</v>
      </c>
      <c r="F101" s="28" t="s">
        <v>208</v>
      </c>
      <c r="G101" s="80">
        <v>525.38</v>
      </c>
      <c r="H101" s="8">
        <v>0</v>
      </c>
      <c r="I101" s="83">
        <v>0</v>
      </c>
      <c r="J101" s="82">
        <f t="shared" si="6"/>
        <v>0</v>
      </c>
      <c r="K101" s="84" t="s">
        <v>117</v>
      </c>
    </row>
    <row r="102" spans="2:11" x14ac:dyDescent="0.25">
      <c r="B102" s="11"/>
      <c r="C102" s="19"/>
      <c r="D102" s="11"/>
      <c r="E102" s="11">
        <v>3433</v>
      </c>
      <c r="F102" s="28" t="s">
        <v>209</v>
      </c>
      <c r="G102" s="80">
        <v>22800.02</v>
      </c>
      <c r="H102" s="8">
        <f>950</f>
        <v>950</v>
      </c>
      <c r="I102" s="83">
        <v>953.76</v>
      </c>
      <c r="J102" s="82">
        <f t="shared" si="6"/>
        <v>4.1831542253033112</v>
      </c>
      <c r="K102" s="82">
        <f t="shared" ref="K102:K113" si="9">I102/H102*100</f>
        <v>100.39578947368422</v>
      </c>
    </row>
    <row r="103" spans="2:11" x14ac:dyDescent="0.25">
      <c r="B103" s="11"/>
      <c r="C103" s="11">
        <v>38</v>
      </c>
      <c r="D103" s="12"/>
      <c r="E103" s="12"/>
      <c r="F103" s="11" t="s">
        <v>181</v>
      </c>
      <c r="G103" s="80"/>
      <c r="H103" s="8">
        <v>1045</v>
      </c>
      <c r="I103" s="83">
        <f>I104</f>
        <v>1044.1199999999999</v>
      </c>
      <c r="J103" s="84" t="s">
        <v>117</v>
      </c>
      <c r="K103" s="82">
        <f t="shared" si="9"/>
        <v>99.9157894736842</v>
      </c>
    </row>
    <row r="104" spans="2:11" x14ac:dyDescent="0.25">
      <c r="B104" s="11"/>
      <c r="C104" s="11"/>
      <c r="D104" s="11">
        <v>381</v>
      </c>
      <c r="E104" s="11"/>
      <c r="F104" s="11" t="s">
        <v>182</v>
      </c>
      <c r="G104" s="80"/>
      <c r="H104" s="8">
        <f>H105</f>
        <v>1045</v>
      </c>
      <c r="I104" s="83">
        <f>I105</f>
        <v>1044.1199999999999</v>
      </c>
      <c r="J104" s="84" t="s">
        <v>117</v>
      </c>
      <c r="K104" s="82">
        <f t="shared" si="9"/>
        <v>99.9157894736842</v>
      </c>
    </row>
    <row r="105" spans="2:11" x14ac:dyDescent="0.25">
      <c r="B105" s="11"/>
      <c r="C105" s="19"/>
      <c r="D105" s="11"/>
      <c r="E105" s="11">
        <v>3812</v>
      </c>
      <c r="F105" s="28" t="s">
        <v>224</v>
      </c>
      <c r="G105" s="80"/>
      <c r="H105" s="8">
        <f>9+1036</f>
        <v>1045</v>
      </c>
      <c r="I105" s="83">
        <v>1044.1199999999999</v>
      </c>
      <c r="J105" s="84" t="s">
        <v>117</v>
      </c>
      <c r="K105" s="82">
        <f t="shared" si="9"/>
        <v>99.9157894736842</v>
      </c>
    </row>
    <row r="106" spans="2:11" s="56" customFormat="1" x14ac:dyDescent="0.25">
      <c r="B106" s="13">
        <v>4</v>
      </c>
      <c r="C106" s="13"/>
      <c r="D106" s="13"/>
      <c r="E106" s="13"/>
      <c r="F106" s="17" t="s">
        <v>6</v>
      </c>
      <c r="G106" s="78">
        <f>G107+G110</f>
        <v>9229.9700000000012</v>
      </c>
      <c r="H106" s="60">
        <f>H107+H110</f>
        <v>58908</v>
      </c>
      <c r="I106" s="82">
        <f>I107+I110</f>
        <v>51287.78</v>
      </c>
      <c r="J106" s="82">
        <f t="shared" ref="J106:J117" si="10">I106/G106*100</f>
        <v>555.66572805762087</v>
      </c>
      <c r="K106" s="82">
        <f t="shared" si="9"/>
        <v>87.064201806206285</v>
      </c>
    </row>
    <row r="107" spans="2:11" ht="29.25" customHeight="1" x14ac:dyDescent="0.25">
      <c r="B107" s="14"/>
      <c r="C107" s="14">
        <v>41</v>
      </c>
      <c r="D107" s="14"/>
      <c r="E107" s="14"/>
      <c r="F107" s="18" t="s">
        <v>7</v>
      </c>
      <c r="G107" s="80">
        <f t="shared" ref="G107:I108" si="11">G108</f>
        <v>946.93</v>
      </c>
      <c r="H107" s="8">
        <f t="shared" si="11"/>
        <v>110</v>
      </c>
      <c r="I107" s="83">
        <f t="shared" si="11"/>
        <v>338.06</v>
      </c>
      <c r="J107" s="82">
        <f t="shared" si="10"/>
        <v>35.700632570517357</v>
      </c>
      <c r="K107" s="82">
        <f t="shared" si="9"/>
        <v>307.32727272727271</v>
      </c>
    </row>
    <row r="108" spans="2:11" x14ac:dyDescent="0.25">
      <c r="B108" s="14"/>
      <c r="C108" s="14"/>
      <c r="D108" s="11">
        <v>412</v>
      </c>
      <c r="E108" s="11"/>
      <c r="F108" s="11" t="s">
        <v>210</v>
      </c>
      <c r="G108" s="80">
        <f t="shared" si="11"/>
        <v>946.93</v>
      </c>
      <c r="H108" s="8">
        <f t="shared" si="11"/>
        <v>110</v>
      </c>
      <c r="I108" s="83">
        <f t="shared" si="11"/>
        <v>338.06</v>
      </c>
      <c r="J108" s="82">
        <f t="shared" si="10"/>
        <v>35.700632570517357</v>
      </c>
      <c r="K108" s="82">
        <f t="shared" si="9"/>
        <v>307.32727272727271</v>
      </c>
    </row>
    <row r="109" spans="2:11" x14ac:dyDescent="0.25">
      <c r="B109" s="14"/>
      <c r="C109" s="14"/>
      <c r="D109" s="11"/>
      <c r="E109" s="11">
        <v>4123</v>
      </c>
      <c r="F109" s="11" t="s">
        <v>165</v>
      </c>
      <c r="G109" s="80">
        <v>946.93</v>
      </c>
      <c r="H109" s="8">
        <v>110</v>
      </c>
      <c r="I109" s="83">
        <v>338.06</v>
      </c>
      <c r="J109" s="82">
        <f t="shared" si="10"/>
        <v>35.700632570517357</v>
      </c>
      <c r="K109" s="82">
        <f t="shared" si="9"/>
        <v>307.32727272727271</v>
      </c>
    </row>
    <row r="110" spans="2:11" ht="30" customHeight="1" x14ac:dyDescent="0.25">
      <c r="B110" s="14"/>
      <c r="C110" s="14">
        <v>42</v>
      </c>
      <c r="D110" s="14"/>
      <c r="E110" s="14"/>
      <c r="F110" s="18" t="s">
        <v>111</v>
      </c>
      <c r="G110" s="80">
        <f>G111+G113+G116</f>
        <v>8283.0400000000009</v>
      </c>
      <c r="H110" s="8">
        <f>H111+H113+H116+H118</f>
        <v>58798</v>
      </c>
      <c r="I110" s="83">
        <f>I111+I113+I116+I118</f>
        <v>50949.72</v>
      </c>
      <c r="J110" s="82">
        <f t="shared" si="10"/>
        <v>615.10894550792943</v>
      </c>
      <c r="K110" s="82">
        <f t="shared" si="9"/>
        <v>86.652131024864801</v>
      </c>
    </row>
    <row r="111" spans="2:11" x14ac:dyDescent="0.25">
      <c r="B111" s="14"/>
      <c r="C111" s="14"/>
      <c r="D111" s="11">
        <v>421</v>
      </c>
      <c r="E111" s="11"/>
      <c r="F111" s="11" t="s">
        <v>167</v>
      </c>
      <c r="G111" s="80">
        <f>G112</f>
        <v>5906.16</v>
      </c>
      <c r="H111" s="8">
        <f>H112</f>
        <v>48754</v>
      </c>
      <c r="I111" s="83">
        <f>I112</f>
        <v>48753.67</v>
      </c>
      <c r="J111" s="82">
        <f t="shared" si="10"/>
        <v>825.47154157692989</v>
      </c>
      <c r="K111" s="82">
        <f t="shared" si="9"/>
        <v>99.99932313246093</v>
      </c>
    </row>
    <row r="112" spans="2:11" x14ac:dyDescent="0.25">
      <c r="B112" s="14"/>
      <c r="C112" s="14"/>
      <c r="D112" s="11"/>
      <c r="E112" s="11">
        <v>4212</v>
      </c>
      <c r="F112" s="11" t="s">
        <v>211</v>
      </c>
      <c r="G112" s="80">
        <v>5906.16</v>
      </c>
      <c r="H112" s="8">
        <f>48754</f>
        <v>48754</v>
      </c>
      <c r="I112" s="83">
        <v>48753.67</v>
      </c>
      <c r="J112" s="82">
        <f t="shared" si="10"/>
        <v>825.47154157692989</v>
      </c>
      <c r="K112" s="82">
        <f t="shared" si="9"/>
        <v>99.99932313246093</v>
      </c>
    </row>
    <row r="113" spans="2:13" x14ac:dyDescent="0.25">
      <c r="B113" s="14"/>
      <c r="C113" s="14"/>
      <c r="D113" s="11">
        <v>422</v>
      </c>
      <c r="E113" s="11"/>
      <c r="F113" s="11" t="s">
        <v>112</v>
      </c>
      <c r="G113" s="80">
        <f>G114+G115</f>
        <v>1329.6100000000001</v>
      </c>
      <c r="H113" s="8">
        <f>H114+H115</f>
        <v>8699</v>
      </c>
      <c r="I113" s="83">
        <f>I114+I115</f>
        <v>854.39</v>
      </c>
      <c r="J113" s="82">
        <f t="shared" si="10"/>
        <v>64.258692398522868</v>
      </c>
      <c r="K113" s="82">
        <f t="shared" si="9"/>
        <v>9.8217036440970222</v>
      </c>
    </row>
    <row r="114" spans="2:13" x14ac:dyDescent="0.25">
      <c r="B114" s="14"/>
      <c r="C114" s="14"/>
      <c r="D114" s="11"/>
      <c r="E114" s="11">
        <v>4221</v>
      </c>
      <c r="F114" s="11" t="s">
        <v>212</v>
      </c>
      <c r="G114" s="80">
        <v>889.08</v>
      </c>
      <c r="H114" s="8">
        <v>0</v>
      </c>
      <c r="I114" s="83">
        <v>0</v>
      </c>
      <c r="J114" s="82">
        <f t="shared" si="10"/>
        <v>0</v>
      </c>
      <c r="K114" s="84" t="s">
        <v>117</v>
      </c>
    </row>
    <row r="115" spans="2:13" x14ac:dyDescent="0.25">
      <c r="B115" s="14"/>
      <c r="C115" s="14"/>
      <c r="D115" s="11"/>
      <c r="E115" s="11">
        <v>4227</v>
      </c>
      <c r="F115" s="11" t="s">
        <v>113</v>
      </c>
      <c r="G115" s="80">
        <v>440.53</v>
      </c>
      <c r="H115" s="8">
        <v>8699</v>
      </c>
      <c r="I115" s="83">
        <v>854.39</v>
      </c>
      <c r="J115" s="82">
        <f t="shared" si="10"/>
        <v>193.94592876762081</v>
      </c>
      <c r="K115" s="82">
        <f>I115/H115*100</f>
        <v>9.8217036440970222</v>
      </c>
      <c r="M115" s="68"/>
    </row>
    <row r="116" spans="2:13" x14ac:dyDescent="0.25">
      <c r="B116" s="14"/>
      <c r="C116" s="14"/>
      <c r="D116" s="11">
        <v>424</v>
      </c>
      <c r="E116" s="11"/>
      <c r="F116" s="11" t="s">
        <v>213</v>
      </c>
      <c r="G116" s="80">
        <f>G117</f>
        <v>1047.27</v>
      </c>
      <c r="H116" s="8">
        <f>H117</f>
        <v>875</v>
      </c>
      <c r="I116" s="83">
        <f>I117</f>
        <v>874.79</v>
      </c>
      <c r="J116" s="82">
        <f t="shared" si="10"/>
        <v>83.530512666265622</v>
      </c>
      <c r="K116" s="82">
        <f>I116/H116*100</f>
        <v>99.975999999999999</v>
      </c>
    </row>
    <row r="117" spans="2:13" x14ac:dyDescent="0.25">
      <c r="B117" s="14"/>
      <c r="C117" s="14"/>
      <c r="D117" s="11"/>
      <c r="E117" s="11">
        <v>4241</v>
      </c>
      <c r="F117" s="11" t="s">
        <v>168</v>
      </c>
      <c r="G117" s="80">
        <v>1047.27</v>
      </c>
      <c r="H117" s="8">
        <v>875</v>
      </c>
      <c r="I117" s="83">
        <v>874.79</v>
      </c>
      <c r="J117" s="82">
        <f t="shared" si="10"/>
        <v>83.530512666265622</v>
      </c>
      <c r="K117" s="82">
        <f>I117/H117*100</f>
        <v>99.975999999999999</v>
      </c>
      <c r="M117" s="68"/>
    </row>
    <row r="118" spans="2:13" x14ac:dyDescent="0.25">
      <c r="B118" s="14"/>
      <c r="C118" s="14"/>
      <c r="D118" s="11">
        <v>426</v>
      </c>
      <c r="E118" s="11"/>
      <c r="F118" s="11" t="s">
        <v>114</v>
      </c>
      <c r="G118" s="80">
        <f>G119</f>
        <v>0</v>
      </c>
      <c r="H118" s="8">
        <f>H119</f>
        <v>470</v>
      </c>
      <c r="I118" s="83">
        <f>I119</f>
        <v>466.87</v>
      </c>
      <c r="J118" s="84" t="s">
        <v>117</v>
      </c>
      <c r="K118" s="82">
        <f>I118/H118*100</f>
        <v>99.334042553191495</v>
      </c>
    </row>
    <row r="119" spans="2:13" x14ac:dyDescent="0.25">
      <c r="B119" s="14"/>
      <c r="C119" s="14"/>
      <c r="D119" s="11"/>
      <c r="E119" s="11">
        <v>4262</v>
      </c>
      <c r="F119" s="11" t="s">
        <v>115</v>
      </c>
      <c r="G119" s="80">
        <v>0</v>
      </c>
      <c r="H119" s="8">
        <v>470</v>
      </c>
      <c r="I119" s="83">
        <v>466.87</v>
      </c>
      <c r="J119" s="84" t="s">
        <v>117</v>
      </c>
      <c r="K119" s="82">
        <f>I119/H119*100</f>
        <v>99.334042553191495</v>
      </c>
    </row>
    <row r="122" spans="2:13" ht="15" customHeight="1" x14ac:dyDescent="0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2:13" x14ac:dyDescent="0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  <row r="124" spans="2:13" ht="4.5" customHeight="1" x14ac:dyDescent="0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</row>
  </sheetData>
  <mergeCells count="9">
    <mergeCell ref="B49:F49"/>
    <mergeCell ref="B52:F52"/>
    <mergeCell ref="B53:F53"/>
    <mergeCell ref="B1:F1"/>
    <mergeCell ref="B2:K2"/>
    <mergeCell ref="B4:K4"/>
    <mergeCell ref="B6:K6"/>
    <mergeCell ref="B8:F8"/>
    <mergeCell ref="B9:F9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4"/>
  <sheetViews>
    <sheetView topLeftCell="A58" workbookViewId="0">
      <selection activeCell="I46" sqref="I4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9" width="25.28515625" customWidth="1"/>
    <col min="10" max="11" width="15.7109375" customWidth="1"/>
  </cols>
  <sheetData>
    <row r="1" spans="2:11" ht="18" x14ac:dyDescent="0.25">
      <c r="B1" s="156" t="s">
        <v>76</v>
      </c>
      <c r="C1" s="156"/>
      <c r="D1" s="156"/>
      <c r="E1" s="156"/>
      <c r="F1" s="156"/>
      <c r="G1" s="3"/>
      <c r="H1" s="3"/>
      <c r="I1" s="3"/>
      <c r="J1" s="3"/>
      <c r="K1" s="3"/>
    </row>
    <row r="2" spans="2:11" ht="15.75" customHeight="1" x14ac:dyDescent="0.25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2:11" ht="18" x14ac:dyDescent="0.25">
      <c r="B3" s="3"/>
      <c r="C3" s="3"/>
      <c r="D3" s="3"/>
      <c r="E3" s="3"/>
      <c r="F3" s="3"/>
      <c r="G3" s="3"/>
      <c r="H3" s="3"/>
      <c r="I3" s="4"/>
      <c r="J3" s="4"/>
      <c r="K3" s="4"/>
    </row>
    <row r="4" spans="2:11" ht="15.75" customHeight="1" x14ac:dyDescent="0.25">
      <c r="B4" s="134" t="s">
        <v>67</v>
      </c>
      <c r="C4" s="134"/>
      <c r="D4" s="134"/>
      <c r="E4" s="134"/>
      <c r="F4" s="134"/>
      <c r="G4" s="134"/>
      <c r="H4" s="134"/>
      <c r="I4" s="134"/>
      <c r="J4" s="134"/>
      <c r="K4" s="134"/>
    </row>
    <row r="5" spans="2:11" ht="18" x14ac:dyDescent="0.25">
      <c r="B5" s="3"/>
      <c r="C5" s="3"/>
      <c r="D5" s="3"/>
      <c r="E5" s="3"/>
      <c r="F5" s="3"/>
      <c r="G5" s="3"/>
      <c r="H5" s="3"/>
      <c r="I5" s="4"/>
      <c r="J5" s="4"/>
      <c r="K5" s="4"/>
    </row>
    <row r="6" spans="2:11" ht="15.75" customHeight="1" x14ac:dyDescent="0.25">
      <c r="B6" s="134" t="s">
        <v>47</v>
      </c>
      <c r="C6" s="134"/>
      <c r="D6" s="134"/>
      <c r="E6" s="134"/>
      <c r="F6" s="134"/>
      <c r="G6" s="134"/>
      <c r="H6" s="134"/>
      <c r="I6" s="134"/>
      <c r="J6" s="134"/>
      <c r="K6" s="134"/>
    </row>
    <row r="7" spans="2:11" ht="18" x14ac:dyDescent="0.25">
      <c r="B7" s="3"/>
      <c r="C7" s="3"/>
      <c r="D7" s="3"/>
      <c r="E7" s="3"/>
      <c r="F7" s="3"/>
      <c r="G7" s="3"/>
      <c r="H7" s="3"/>
      <c r="I7" s="4"/>
      <c r="J7" s="4"/>
      <c r="K7" s="4"/>
    </row>
    <row r="8" spans="2:11" ht="45" customHeight="1" x14ac:dyDescent="0.25">
      <c r="B8" s="150" t="s">
        <v>8</v>
      </c>
      <c r="C8" s="151"/>
      <c r="D8" s="151"/>
      <c r="E8" s="151"/>
      <c r="F8" s="152"/>
      <c r="G8" s="39" t="s">
        <v>154</v>
      </c>
      <c r="H8" s="39" t="s">
        <v>64</v>
      </c>
      <c r="I8" s="39" t="s">
        <v>155</v>
      </c>
      <c r="J8" s="39" t="s">
        <v>30</v>
      </c>
      <c r="K8" s="39" t="s">
        <v>62</v>
      </c>
    </row>
    <row r="9" spans="2:11" x14ac:dyDescent="0.25">
      <c r="B9" s="153">
        <v>1</v>
      </c>
      <c r="C9" s="154"/>
      <c r="D9" s="154"/>
      <c r="E9" s="154"/>
      <c r="F9" s="155"/>
      <c r="G9" s="42">
        <v>2</v>
      </c>
      <c r="H9" s="42">
        <v>3</v>
      </c>
      <c r="I9" s="42">
        <v>4</v>
      </c>
      <c r="J9" s="42" t="s">
        <v>125</v>
      </c>
      <c r="K9" s="42" t="s">
        <v>185</v>
      </c>
    </row>
    <row r="10" spans="2:11" x14ac:dyDescent="0.25">
      <c r="B10" s="10"/>
      <c r="C10" s="10"/>
      <c r="D10" s="10"/>
      <c r="E10" s="10"/>
      <c r="F10" s="10" t="s">
        <v>60</v>
      </c>
      <c r="G10" s="78">
        <f>G11</f>
        <v>175334.22999999998</v>
      </c>
      <c r="H10" s="60">
        <f>H11</f>
        <v>185560.9</v>
      </c>
      <c r="I10" s="82">
        <f>I11</f>
        <v>194208.52</v>
      </c>
      <c r="J10" s="82">
        <f t="shared" ref="J10:J28" si="0">I10/G10*100</f>
        <v>110.7647491308457</v>
      </c>
      <c r="K10" s="82">
        <f t="shared" ref="K10:K28" si="1">I10/H10*100</f>
        <v>104.66025978533193</v>
      </c>
    </row>
    <row r="11" spans="2:11" x14ac:dyDescent="0.25">
      <c r="B11" s="10">
        <v>6</v>
      </c>
      <c r="C11" s="10"/>
      <c r="D11" s="10"/>
      <c r="E11" s="10"/>
      <c r="F11" s="10" t="s">
        <v>3</v>
      </c>
      <c r="G11" s="79">
        <f>G15+G18+G21</f>
        <v>175334.22999999998</v>
      </c>
      <c r="H11" s="58">
        <f>H15+H18+H21</f>
        <v>185560.9</v>
      </c>
      <c r="I11" s="79">
        <f>I15+I18+I21+I12</f>
        <v>194208.52</v>
      </c>
      <c r="J11" s="82">
        <f t="shared" si="0"/>
        <v>110.7647491308457</v>
      </c>
      <c r="K11" s="82">
        <f t="shared" si="1"/>
        <v>104.66025978533193</v>
      </c>
    </row>
    <row r="12" spans="2:11" ht="25.5" x14ac:dyDescent="0.25">
      <c r="B12" s="10"/>
      <c r="C12" s="14">
        <v>63</v>
      </c>
      <c r="D12" s="14"/>
      <c r="E12" s="14"/>
      <c r="F12" s="14" t="s">
        <v>136</v>
      </c>
      <c r="G12" s="80">
        <f>G13</f>
        <v>0</v>
      </c>
      <c r="H12" s="8">
        <f>H13</f>
        <v>0</v>
      </c>
      <c r="I12" s="83">
        <f>I13</f>
        <v>2100</v>
      </c>
      <c r="J12" s="84" t="s">
        <v>117</v>
      </c>
      <c r="K12" s="84" t="s">
        <v>117</v>
      </c>
    </row>
    <row r="13" spans="2:11" ht="30" customHeight="1" x14ac:dyDescent="0.25">
      <c r="B13" s="11"/>
      <c r="C13" s="11"/>
      <c r="D13" s="11" t="s">
        <v>186</v>
      </c>
      <c r="E13" s="11"/>
      <c r="F13" s="28" t="s">
        <v>187</v>
      </c>
      <c r="G13" s="80"/>
      <c r="H13" s="8"/>
      <c r="I13" s="83">
        <f>I14</f>
        <v>2100</v>
      </c>
      <c r="J13" s="84" t="s">
        <v>117</v>
      </c>
      <c r="K13" s="84" t="s">
        <v>117</v>
      </c>
    </row>
    <row r="14" spans="2:11" ht="30" customHeight="1" x14ac:dyDescent="0.25">
      <c r="B14" s="11"/>
      <c r="C14" s="11"/>
      <c r="D14" s="11"/>
      <c r="E14" s="11" t="s">
        <v>229</v>
      </c>
      <c r="F14" s="28" t="s">
        <v>230</v>
      </c>
      <c r="G14" s="80"/>
      <c r="H14" s="8"/>
      <c r="I14" s="83">
        <v>2100</v>
      </c>
      <c r="J14" s="84" t="s">
        <v>117</v>
      </c>
      <c r="K14" s="84" t="s">
        <v>117</v>
      </c>
    </row>
    <row r="15" spans="2:11" x14ac:dyDescent="0.25">
      <c r="B15" s="10"/>
      <c r="C15" s="14">
        <v>65</v>
      </c>
      <c r="D15" s="14"/>
      <c r="E15" s="14"/>
      <c r="F15" s="14" t="s">
        <v>78</v>
      </c>
      <c r="G15" s="80">
        <f>G16</f>
        <v>86770.53</v>
      </c>
      <c r="H15" s="8">
        <v>92000</v>
      </c>
      <c r="I15" s="83">
        <f>I16</f>
        <v>95370.4</v>
      </c>
      <c r="J15" s="83">
        <f t="shared" si="0"/>
        <v>109.9110492928878</v>
      </c>
      <c r="K15" s="83">
        <f t="shared" si="1"/>
        <v>103.66347826086957</v>
      </c>
    </row>
    <row r="16" spans="2:11" x14ac:dyDescent="0.25">
      <c r="B16" s="11"/>
      <c r="C16" s="11"/>
      <c r="D16" s="11">
        <v>652</v>
      </c>
      <c r="E16" s="11"/>
      <c r="F16" s="11" t="s">
        <v>78</v>
      </c>
      <c r="G16" s="80">
        <f>G17</f>
        <v>86770.53</v>
      </c>
      <c r="H16" s="8">
        <v>92000</v>
      </c>
      <c r="I16" s="83">
        <f>I17</f>
        <v>95370.4</v>
      </c>
      <c r="J16" s="83">
        <f t="shared" si="0"/>
        <v>109.9110492928878</v>
      </c>
      <c r="K16" s="83">
        <f t="shared" si="1"/>
        <v>103.66347826086957</v>
      </c>
    </row>
    <row r="17" spans="2:11" x14ac:dyDescent="0.25">
      <c r="B17" s="11"/>
      <c r="C17" s="11"/>
      <c r="D17" s="11"/>
      <c r="E17" s="11">
        <v>6526</v>
      </c>
      <c r="F17" s="11" t="s">
        <v>79</v>
      </c>
      <c r="G17" s="80">
        <v>86770.53</v>
      </c>
      <c r="H17" s="8">
        <v>92000</v>
      </c>
      <c r="I17" s="83">
        <v>95370.4</v>
      </c>
      <c r="J17" s="83">
        <f t="shared" si="0"/>
        <v>109.9110492928878</v>
      </c>
      <c r="K17" s="83">
        <f t="shared" si="1"/>
        <v>103.66347826086957</v>
      </c>
    </row>
    <row r="18" spans="2:11" ht="25.5" x14ac:dyDescent="0.25">
      <c r="B18" s="11"/>
      <c r="C18" s="11">
        <v>66</v>
      </c>
      <c r="D18" s="12"/>
      <c r="E18" s="12"/>
      <c r="F18" s="14" t="s">
        <v>80</v>
      </c>
      <c r="G18" s="80">
        <f>G19</f>
        <v>5234.22</v>
      </c>
      <c r="H18" s="8">
        <v>4500</v>
      </c>
      <c r="I18" s="83">
        <f>I19</f>
        <v>7677.22</v>
      </c>
      <c r="J18" s="83">
        <f t="shared" si="0"/>
        <v>146.67362090244583</v>
      </c>
      <c r="K18" s="83">
        <f t="shared" si="1"/>
        <v>170.60488888888889</v>
      </c>
    </row>
    <row r="19" spans="2:11" ht="25.5" x14ac:dyDescent="0.25">
      <c r="B19" s="11"/>
      <c r="C19" s="19"/>
      <c r="D19" s="11">
        <v>661</v>
      </c>
      <c r="E19" s="11"/>
      <c r="F19" s="14" t="s">
        <v>37</v>
      </c>
      <c r="G19" s="80">
        <f>G20</f>
        <v>5234.22</v>
      </c>
      <c r="H19" s="8">
        <v>4500</v>
      </c>
      <c r="I19" s="83">
        <f>I20</f>
        <v>7677.22</v>
      </c>
      <c r="J19" s="83">
        <f t="shared" si="0"/>
        <v>146.67362090244583</v>
      </c>
      <c r="K19" s="83">
        <f t="shared" si="1"/>
        <v>170.60488888888889</v>
      </c>
    </row>
    <row r="20" spans="2:11" x14ac:dyDescent="0.25">
      <c r="B20" s="11"/>
      <c r="C20" s="19"/>
      <c r="D20" s="11"/>
      <c r="E20" s="11">
        <v>6615</v>
      </c>
      <c r="F20" s="14" t="s">
        <v>81</v>
      </c>
      <c r="G20" s="80">
        <v>5234.22</v>
      </c>
      <c r="H20" s="8">
        <v>4500</v>
      </c>
      <c r="I20" s="83">
        <v>7677.22</v>
      </c>
      <c r="J20" s="83">
        <f t="shared" si="0"/>
        <v>146.67362090244583</v>
      </c>
      <c r="K20" s="83">
        <f t="shared" si="1"/>
        <v>170.60488888888889</v>
      </c>
    </row>
    <row r="21" spans="2:11" ht="30.75" customHeight="1" x14ac:dyDescent="0.25">
      <c r="B21" s="11"/>
      <c r="C21" s="11">
        <v>67</v>
      </c>
      <c r="D21" s="12"/>
      <c r="E21" s="12"/>
      <c r="F21" s="28" t="s">
        <v>82</v>
      </c>
      <c r="G21" s="80">
        <f t="shared" ref="G21:I22" si="2">G22</f>
        <v>83329.48</v>
      </c>
      <c r="H21" s="8">
        <f t="shared" si="2"/>
        <v>89060.9</v>
      </c>
      <c r="I21" s="83">
        <f t="shared" si="2"/>
        <v>89060.9</v>
      </c>
      <c r="J21" s="83">
        <f t="shared" si="0"/>
        <v>106.87802203973911</v>
      </c>
      <c r="K21" s="83">
        <f t="shared" si="1"/>
        <v>100</v>
      </c>
    </row>
    <row r="22" spans="2:11" ht="25.5" x14ac:dyDescent="0.25">
      <c r="B22" s="11"/>
      <c r="C22" s="11"/>
      <c r="D22" s="11">
        <v>671</v>
      </c>
      <c r="E22" s="11"/>
      <c r="F22" s="28" t="s">
        <v>83</v>
      </c>
      <c r="G22" s="80">
        <f t="shared" si="2"/>
        <v>83329.48</v>
      </c>
      <c r="H22" s="8">
        <f t="shared" si="2"/>
        <v>89060.9</v>
      </c>
      <c r="I22" s="83">
        <f t="shared" si="2"/>
        <v>89060.9</v>
      </c>
      <c r="J22" s="83">
        <f t="shared" si="0"/>
        <v>106.87802203973911</v>
      </c>
      <c r="K22" s="83">
        <f t="shared" si="1"/>
        <v>100</v>
      </c>
    </row>
    <row r="23" spans="2:11" ht="25.5" x14ac:dyDescent="0.25">
      <c r="B23" s="11"/>
      <c r="C23" s="11"/>
      <c r="D23" s="11"/>
      <c r="E23" s="11">
        <v>6711</v>
      </c>
      <c r="F23" s="28" t="s">
        <v>84</v>
      </c>
      <c r="G23" s="80">
        <v>83329.48</v>
      </c>
      <c r="H23" s="8">
        <v>89060.9</v>
      </c>
      <c r="I23" s="83">
        <v>89060.9</v>
      </c>
      <c r="J23" s="83">
        <f t="shared" si="0"/>
        <v>106.87802203973911</v>
      </c>
      <c r="K23" s="83">
        <f t="shared" si="1"/>
        <v>100</v>
      </c>
    </row>
    <row r="24" spans="2:11" s="56" customFormat="1" x14ac:dyDescent="0.25">
      <c r="B24" s="19">
        <v>9</v>
      </c>
      <c r="C24" s="19"/>
      <c r="D24" s="19"/>
      <c r="E24" s="19"/>
      <c r="F24" s="66" t="s">
        <v>85</v>
      </c>
      <c r="G24" s="78">
        <f>G25</f>
        <v>86667.06</v>
      </c>
      <c r="H24" s="60">
        <f>H25</f>
        <v>52216</v>
      </c>
      <c r="I24" s="82">
        <f>I25</f>
        <v>52216</v>
      </c>
      <c r="J24" s="82">
        <f t="shared" si="0"/>
        <v>60.248957331655184</v>
      </c>
      <c r="K24" s="82">
        <f t="shared" si="1"/>
        <v>100</v>
      </c>
    </row>
    <row r="25" spans="2:11" ht="30.75" customHeight="1" x14ac:dyDescent="0.25">
      <c r="B25" s="11"/>
      <c r="C25" s="11">
        <v>92</v>
      </c>
      <c r="D25" s="12"/>
      <c r="E25" s="12"/>
      <c r="F25" s="28" t="s">
        <v>85</v>
      </c>
      <c r="G25" s="80">
        <f t="shared" ref="G25:I26" si="3">G26</f>
        <v>86667.06</v>
      </c>
      <c r="H25" s="8">
        <f t="shared" si="3"/>
        <v>52216</v>
      </c>
      <c r="I25" s="83">
        <f t="shared" si="3"/>
        <v>52216</v>
      </c>
      <c r="J25" s="83">
        <f t="shared" si="0"/>
        <v>60.248957331655184</v>
      </c>
      <c r="K25" s="83">
        <f t="shared" si="1"/>
        <v>100</v>
      </c>
    </row>
    <row r="26" spans="2:11" x14ac:dyDescent="0.25">
      <c r="B26" s="11"/>
      <c r="C26" s="11"/>
      <c r="D26" s="11">
        <v>922</v>
      </c>
      <c r="E26" s="11"/>
      <c r="F26" s="28" t="s">
        <v>85</v>
      </c>
      <c r="G26" s="80">
        <f t="shared" si="3"/>
        <v>86667.06</v>
      </c>
      <c r="H26" s="8">
        <f t="shared" si="3"/>
        <v>52216</v>
      </c>
      <c r="I26" s="83">
        <f t="shared" si="3"/>
        <v>52216</v>
      </c>
      <c r="J26" s="83">
        <f t="shared" si="0"/>
        <v>60.248957331655184</v>
      </c>
      <c r="K26" s="83">
        <f t="shared" si="1"/>
        <v>100</v>
      </c>
    </row>
    <row r="27" spans="2:11" x14ac:dyDescent="0.25">
      <c r="B27" s="11"/>
      <c r="C27" s="11"/>
      <c r="D27" s="11"/>
      <c r="E27" s="11">
        <v>9221</v>
      </c>
      <c r="F27" s="28" t="s">
        <v>86</v>
      </c>
      <c r="G27" s="80">
        <v>86667.06</v>
      </c>
      <c r="H27" s="8">
        <v>52216</v>
      </c>
      <c r="I27" s="83">
        <v>52216</v>
      </c>
      <c r="J27" s="83">
        <f t="shared" si="0"/>
        <v>60.248957331655184</v>
      </c>
      <c r="K27" s="83">
        <f t="shared" si="1"/>
        <v>100</v>
      </c>
    </row>
    <row r="28" spans="2:11" s="56" customFormat="1" x14ac:dyDescent="0.25">
      <c r="B28" s="147" t="s">
        <v>87</v>
      </c>
      <c r="C28" s="148"/>
      <c r="D28" s="148"/>
      <c r="E28" s="148"/>
      <c r="F28" s="149"/>
      <c r="G28" s="82">
        <f>G10+G25</f>
        <v>262001.28999999998</v>
      </c>
      <c r="H28" s="61">
        <f>H10+H25</f>
        <v>237776.9</v>
      </c>
      <c r="I28" s="82">
        <f>I10+I25</f>
        <v>246424.52</v>
      </c>
      <c r="J28" s="82">
        <f t="shared" si="0"/>
        <v>94.05469721160533</v>
      </c>
      <c r="K28" s="82">
        <f t="shared" si="1"/>
        <v>103.63686295851279</v>
      </c>
    </row>
    <row r="29" spans="2:11" ht="18" x14ac:dyDescent="0.25">
      <c r="B29" s="3"/>
      <c r="C29" s="3"/>
      <c r="D29" s="3"/>
      <c r="E29" s="3"/>
      <c r="F29" s="3"/>
      <c r="G29" s="3"/>
      <c r="H29" s="3"/>
      <c r="I29" s="4"/>
      <c r="J29" s="4"/>
      <c r="K29" s="4"/>
    </row>
    <row r="30" spans="2:11" ht="36.75" customHeight="1" x14ac:dyDescent="0.25">
      <c r="B30" s="150" t="s">
        <v>8</v>
      </c>
      <c r="C30" s="151"/>
      <c r="D30" s="151"/>
      <c r="E30" s="151"/>
      <c r="F30" s="152"/>
      <c r="G30" s="39" t="s">
        <v>154</v>
      </c>
      <c r="H30" s="39" t="s">
        <v>64</v>
      </c>
      <c r="I30" s="39" t="s">
        <v>155</v>
      </c>
      <c r="J30" s="39" t="s">
        <v>30</v>
      </c>
      <c r="K30" s="39" t="s">
        <v>62</v>
      </c>
    </row>
    <row r="31" spans="2:11" x14ac:dyDescent="0.25">
      <c r="B31" s="153">
        <v>1</v>
      </c>
      <c r="C31" s="154"/>
      <c r="D31" s="154"/>
      <c r="E31" s="154"/>
      <c r="F31" s="155"/>
      <c r="G31" s="42">
        <v>2</v>
      </c>
      <c r="H31" s="42">
        <v>3</v>
      </c>
      <c r="I31" s="42">
        <v>4</v>
      </c>
      <c r="J31" s="42" t="s">
        <v>125</v>
      </c>
      <c r="K31" s="42" t="s">
        <v>185</v>
      </c>
    </row>
    <row r="32" spans="2:11" s="56" customFormat="1" x14ac:dyDescent="0.25">
      <c r="B32" s="10"/>
      <c r="C32" s="10"/>
      <c r="D32" s="10"/>
      <c r="E32" s="10"/>
      <c r="F32" s="10" t="s">
        <v>59</v>
      </c>
      <c r="G32" s="78">
        <f>G33+G63</f>
        <v>210351.24912668392</v>
      </c>
      <c r="H32" s="60">
        <f>H33+H63</f>
        <v>237776.9</v>
      </c>
      <c r="I32" s="82">
        <f>I33+I63</f>
        <v>169263.58999999997</v>
      </c>
      <c r="J32" s="82">
        <f t="shared" ref="J32:J69" si="4">I32/G32*100</f>
        <v>80.467119022459926</v>
      </c>
      <c r="K32" s="82">
        <f t="shared" ref="K32:K69" si="5">I32/H32*100</f>
        <v>71.18588475163061</v>
      </c>
    </row>
    <row r="33" spans="2:11" s="56" customFormat="1" x14ac:dyDescent="0.25">
      <c r="B33" s="10">
        <v>3</v>
      </c>
      <c r="C33" s="10"/>
      <c r="D33" s="10"/>
      <c r="E33" s="10"/>
      <c r="F33" s="10" t="s">
        <v>4</v>
      </c>
      <c r="G33" s="78">
        <f>G34+G60</f>
        <v>168734.9194372553</v>
      </c>
      <c r="H33" s="60">
        <f>H34+H60</f>
        <v>233766.9</v>
      </c>
      <c r="I33" s="82">
        <f>I34+I60</f>
        <v>166244.09999999998</v>
      </c>
      <c r="J33" s="82">
        <f t="shared" si="4"/>
        <v>98.523826931874908</v>
      </c>
      <c r="K33" s="82">
        <f t="shared" si="5"/>
        <v>71.115328987979041</v>
      </c>
    </row>
    <row r="34" spans="2:11" x14ac:dyDescent="0.25">
      <c r="B34" s="11"/>
      <c r="C34" s="11">
        <v>32</v>
      </c>
      <c r="D34" s="12"/>
      <c r="E34" s="12"/>
      <c r="F34" s="11" t="s">
        <v>13</v>
      </c>
      <c r="G34" s="80">
        <f>G35+G38+G45+G54</f>
        <v>167612.57687968679</v>
      </c>
      <c r="H34" s="8">
        <f>H35+H38+H45+H54</f>
        <v>232066.9</v>
      </c>
      <c r="I34" s="83">
        <f>I35+I38+I45+I54</f>
        <v>165490.54999999999</v>
      </c>
      <c r="J34" s="82">
        <f t="shared" si="4"/>
        <v>98.733969181077612</v>
      </c>
      <c r="K34" s="82">
        <f t="shared" si="5"/>
        <v>71.311570068803434</v>
      </c>
    </row>
    <row r="35" spans="2:11" x14ac:dyDescent="0.25">
      <c r="B35" s="11"/>
      <c r="C35" s="11"/>
      <c r="D35" s="11">
        <v>321</v>
      </c>
      <c r="E35" s="11"/>
      <c r="F35" s="11" t="s">
        <v>43</v>
      </c>
      <c r="G35" s="80">
        <f>SUM(G36:G37)</f>
        <v>2572.5091246930788</v>
      </c>
      <c r="H35" s="8">
        <f>H36+H37</f>
        <v>6650</v>
      </c>
      <c r="I35" s="83">
        <f>I36+I37</f>
        <v>1943.36</v>
      </c>
      <c r="J35" s="82">
        <f t="shared" si="4"/>
        <v>75.543366643329534</v>
      </c>
      <c r="K35" s="82">
        <f t="shared" si="5"/>
        <v>29.223458646616539</v>
      </c>
    </row>
    <row r="36" spans="2:11" x14ac:dyDescent="0.25">
      <c r="B36" s="11"/>
      <c r="C36" s="19"/>
      <c r="D36" s="11"/>
      <c r="E36" s="11">
        <v>3211</v>
      </c>
      <c r="F36" s="28" t="s">
        <v>44</v>
      </c>
      <c r="G36" s="80">
        <f>8738.12/7.5345</f>
        <v>1159.7478266640123</v>
      </c>
      <c r="H36" s="8">
        <v>3990</v>
      </c>
      <c r="I36" s="83">
        <v>1454.32</v>
      </c>
      <c r="J36" s="82">
        <f t="shared" si="4"/>
        <v>125.39967452953265</v>
      </c>
      <c r="K36" s="82">
        <f t="shared" si="5"/>
        <v>36.449122807017545</v>
      </c>
    </row>
    <row r="37" spans="2:11" x14ac:dyDescent="0.25">
      <c r="B37" s="11"/>
      <c r="C37" s="19"/>
      <c r="D37" s="11"/>
      <c r="E37" s="11">
        <v>3213</v>
      </c>
      <c r="F37" s="28" t="s">
        <v>88</v>
      </c>
      <c r="G37" s="80">
        <f>10644.45/7.5345</f>
        <v>1412.7612980290662</v>
      </c>
      <c r="H37" s="8">
        <v>2660</v>
      </c>
      <c r="I37" s="83">
        <v>489.04</v>
      </c>
      <c r="J37" s="82">
        <f t="shared" si="4"/>
        <v>34.61589729859223</v>
      </c>
      <c r="K37" s="82">
        <f t="shared" si="5"/>
        <v>18.384962406015038</v>
      </c>
    </row>
    <row r="38" spans="2:11" x14ac:dyDescent="0.25">
      <c r="B38" s="11"/>
      <c r="C38" s="19"/>
      <c r="D38" s="11">
        <v>322</v>
      </c>
      <c r="E38" s="11"/>
      <c r="F38" s="28" t="s">
        <v>106</v>
      </c>
      <c r="G38" s="80">
        <v>133669</v>
      </c>
      <c r="H38" s="8">
        <f>H39+H40+H41+H42+H43+H44</f>
        <v>181711.68</v>
      </c>
      <c r="I38" s="83">
        <f>SUM(I39:I44)</f>
        <v>132629.68</v>
      </c>
      <c r="J38" s="82">
        <f t="shared" si="4"/>
        <v>99.222467438224257</v>
      </c>
      <c r="K38" s="82">
        <f t="shared" si="5"/>
        <v>72.989078082377532</v>
      </c>
    </row>
    <row r="39" spans="2:11" x14ac:dyDescent="0.25">
      <c r="B39" s="11"/>
      <c r="C39" s="19"/>
      <c r="D39" s="11"/>
      <c r="E39" s="11">
        <v>3221</v>
      </c>
      <c r="F39" s="28" t="s">
        <v>89</v>
      </c>
      <c r="G39" s="80">
        <f>(31000+15885.91+31983.6)/7.5345</f>
        <v>10467.782865485435</v>
      </c>
      <c r="H39" s="8">
        <f>3500+6650+200+3980</f>
        <v>14330</v>
      </c>
      <c r="I39" s="83">
        <f>200+3980+3373.12+1719</f>
        <v>9272.119999999999</v>
      </c>
      <c r="J39" s="82">
        <f t="shared" si="4"/>
        <v>88.577687549979686</v>
      </c>
      <c r="K39" s="82">
        <f t="shared" si="5"/>
        <v>64.704256803907882</v>
      </c>
    </row>
    <row r="40" spans="2:11" x14ac:dyDescent="0.25">
      <c r="B40" s="11"/>
      <c r="C40" s="19"/>
      <c r="D40" s="11"/>
      <c r="E40" s="11">
        <v>3222</v>
      </c>
      <c r="F40" s="28" t="s">
        <v>90</v>
      </c>
      <c r="G40" s="80">
        <f>(287866+178625.84+31736.21)/7.5345</f>
        <v>66126.226026942721</v>
      </c>
      <c r="H40" s="8">
        <f>44730+1590+40841.8</f>
        <v>87161.8</v>
      </c>
      <c r="I40" s="83">
        <f>40841.8+26339.12+6637.59</f>
        <v>73818.509999999995</v>
      </c>
      <c r="J40" s="82">
        <f t="shared" si="4"/>
        <v>111.63272794355919</v>
      </c>
      <c r="K40" s="82">
        <f t="shared" si="5"/>
        <v>84.691355616795434</v>
      </c>
    </row>
    <row r="41" spans="2:11" x14ac:dyDescent="0.25">
      <c r="B41" s="11"/>
      <c r="C41" s="19"/>
      <c r="D41" s="11"/>
      <c r="E41" s="11">
        <v>3223</v>
      </c>
      <c r="F41" s="28" t="s">
        <v>91</v>
      </c>
      <c r="G41" s="80">
        <f>(206000+12782.25+160575.13+15587.17)/7.5345</f>
        <v>52418.149844050698</v>
      </c>
      <c r="H41" s="8">
        <f>5276+29430+3990+8967.31+23380.24</f>
        <v>71043.55</v>
      </c>
      <c r="I41" s="83">
        <f>8967.31+23380.24+1207.17+12638.99+768.55</f>
        <v>46962.26</v>
      </c>
      <c r="J41" s="82">
        <f t="shared" si="4"/>
        <v>89.591601648889707</v>
      </c>
      <c r="K41" s="82">
        <f t="shared" si="5"/>
        <v>66.103481596851509</v>
      </c>
    </row>
    <row r="42" spans="2:11" ht="25.5" x14ac:dyDescent="0.25">
      <c r="B42" s="11"/>
      <c r="C42" s="19"/>
      <c r="D42" s="11"/>
      <c r="E42" s="11">
        <v>3224</v>
      </c>
      <c r="F42" s="28" t="s">
        <v>92</v>
      </c>
      <c r="G42" s="80">
        <f>(12000+9857.12)/7.5345</f>
        <v>2900.9383502554915</v>
      </c>
      <c r="H42" s="8">
        <f>3990+546.33</f>
        <v>4536.33</v>
      </c>
      <c r="I42" s="83">
        <f>546.33+420.11</f>
        <v>966.44</v>
      </c>
      <c r="J42" s="82">
        <f t="shared" si="4"/>
        <v>33.314737623255027</v>
      </c>
      <c r="K42" s="82">
        <f t="shared" si="5"/>
        <v>21.304446545996434</v>
      </c>
    </row>
    <row r="43" spans="2:11" x14ac:dyDescent="0.25">
      <c r="B43" s="11"/>
      <c r="C43" s="19"/>
      <c r="D43" s="11"/>
      <c r="E43" s="11">
        <v>3225</v>
      </c>
      <c r="F43" s="28" t="s">
        <v>93</v>
      </c>
      <c r="G43" s="80">
        <f>(717.12+6043.92)/7.5345</f>
        <v>897.34421660362329</v>
      </c>
      <c r="H43" s="8">
        <f>660+1990</f>
        <v>2650</v>
      </c>
      <c r="I43" s="83">
        <v>1039.6300000000001</v>
      </c>
      <c r="J43" s="82">
        <f t="shared" si="4"/>
        <v>115.85632143871358</v>
      </c>
      <c r="K43" s="82">
        <f t="shared" si="5"/>
        <v>39.23132075471699</v>
      </c>
    </row>
    <row r="44" spans="2:11" x14ac:dyDescent="0.25">
      <c r="B44" s="11"/>
      <c r="C44" s="19"/>
      <c r="D44" s="11"/>
      <c r="E44" s="11">
        <v>3227</v>
      </c>
      <c r="F44" s="28" t="s">
        <v>94</v>
      </c>
      <c r="G44" s="80">
        <f>6474.53/7.5345</f>
        <v>859.31780476474876</v>
      </c>
      <c r="H44" s="8">
        <v>1990</v>
      </c>
      <c r="I44" s="83">
        <v>570.72</v>
      </c>
      <c r="J44" s="82">
        <f t="shared" si="4"/>
        <v>66.415474791220376</v>
      </c>
      <c r="K44" s="82">
        <f t="shared" si="5"/>
        <v>28.679396984924626</v>
      </c>
    </row>
    <row r="45" spans="2:11" x14ac:dyDescent="0.25">
      <c r="B45" s="11"/>
      <c r="C45" s="19"/>
      <c r="D45" s="11">
        <v>323</v>
      </c>
      <c r="E45" s="11"/>
      <c r="F45" s="28" t="s">
        <v>107</v>
      </c>
      <c r="G45" s="80">
        <f>SUM(G46:G53)</f>
        <v>25634.436259871258</v>
      </c>
      <c r="H45" s="8">
        <f>H46+H47+H48+H49+H50+H51+H53</f>
        <v>31705.219999999998</v>
      </c>
      <c r="I45" s="83">
        <f>SUM(I46:I53)</f>
        <v>24544.399999999998</v>
      </c>
      <c r="J45" s="82">
        <f t="shared" si="4"/>
        <v>95.747765822423688</v>
      </c>
      <c r="K45" s="82">
        <f t="shared" si="5"/>
        <v>77.414381606561946</v>
      </c>
    </row>
    <row r="46" spans="2:11" x14ac:dyDescent="0.25">
      <c r="B46" s="11"/>
      <c r="C46" s="19"/>
      <c r="D46" s="11"/>
      <c r="E46" s="11">
        <v>3231</v>
      </c>
      <c r="F46" s="28" t="s">
        <v>95</v>
      </c>
      <c r="G46" s="80">
        <f>(4500+18431.49+7963.31)/7.5345</f>
        <v>4100.4446214081891</v>
      </c>
      <c r="H46" s="8">
        <f>2500+1600+600</f>
        <v>4700</v>
      </c>
      <c r="I46" s="83">
        <f>600+1889.91+765.06</f>
        <v>3254.97</v>
      </c>
      <c r="J46" s="82">
        <f t="shared" si="4"/>
        <v>79.38090379287128</v>
      </c>
      <c r="K46" s="82">
        <f t="shared" si="5"/>
        <v>69.254680851063824</v>
      </c>
    </row>
    <row r="47" spans="2:11" x14ac:dyDescent="0.25">
      <c r="B47" s="11"/>
      <c r="C47" s="19"/>
      <c r="D47" s="11"/>
      <c r="E47" s="11">
        <v>3232</v>
      </c>
      <c r="F47" s="28" t="s">
        <v>96</v>
      </c>
      <c r="G47" s="80">
        <f>(20000+9949.88)/7.5345</f>
        <v>3975.0321852810398</v>
      </c>
      <c r="H47" s="8">
        <f>5310+2150</f>
        <v>7460</v>
      </c>
      <c r="I47" s="83">
        <f>2150+4050.82</f>
        <v>6200.82</v>
      </c>
      <c r="J47" s="82">
        <f t="shared" si="4"/>
        <v>155.9942086245421</v>
      </c>
      <c r="K47" s="82">
        <f t="shared" si="5"/>
        <v>83.120911528150131</v>
      </c>
    </row>
    <row r="48" spans="2:11" x14ac:dyDescent="0.25">
      <c r="B48" s="11"/>
      <c r="C48" s="19"/>
      <c r="D48" s="11"/>
      <c r="E48" s="11">
        <v>3233</v>
      </c>
      <c r="F48" s="28" t="s">
        <v>97</v>
      </c>
      <c r="G48" s="80">
        <f>859.37/7.5345</f>
        <v>114.05799986727719</v>
      </c>
      <c r="H48" s="8">
        <v>390</v>
      </c>
      <c r="I48" s="83"/>
      <c r="J48" s="82">
        <f t="shared" si="4"/>
        <v>0</v>
      </c>
      <c r="K48" s="82">
        <f t="shared" si="5"/>
        <v>0</v>
      </c>
    </row>
    <row r="49" spans="2:11" x14ac:dyDescent="0.25">
      <c r="B49" s="11"/>
      <c r="C49" s="19"/>
      <c r="D49" s="11"/>
      <c r="E49" s="11">
        <v>3234</v>
      </c>
      <c r="F49" s="28" t="s">
        <v>98</v>
      </c>
      <c r="G49" s="80">
        <f>(65004.64+1491.09)/7.5345</f>
        <v>8825.5000331807005</v>
      </c>
      <c r="H49" s="8">
        <f>2660+8351.42</f>
        <v>11011.42</v>
      </c>
      <c r="I49" s="83">
        <f>8351.42+1837.89</f>
        <v>10189.31</v>
      </c>
      <c r="J49" s="82">
        <f t="shared" si="4"/>
        <v>115.45306171539136</v>
      </c>
      <c r="K49" s="82">
        <f t="shared" si="5"/>
        <v>92.534023768051711</v>
      </c>
    </row>
    <row r="50" spans="2:11" x14ac:dyDescent="0.25">
      <c r="B50" s="11"/>
      <c r="C50" s="19"/>
      <c r="D50" s="11"/>
      <c r="E50" s="11">
        <v>3236</v>
      </c>
      <c r="F50" s="28" t="s">
        <v>99</v>
      </c>
      <c r="G50" s="80">
        <f>(1475.36+7500+4295.85)/7.5345</f>
        <v>1761.3922622602695</v>
      </c>
      <c r="H50" s="8">
        <f>800+800+43.8</f>
        <v>1643.8</v>
      </c>
      <c r="I50" s="83">
        <f>43.8+641.26</f>
        <v>685.06</v>
      </c>
      <c r="J50" s="82">
        <f t="shared" si="4"/>
        <v>38.893096936903262</v>
      </c>
      <c r="K50" s="82">
        <f t="shared" si="5"/>
        <v>41.6753863000365</v>
      </c>
    </row>
    <row r="51" spans="2:11" x14ac:dyDescent="0.25">
      <c r="B51" s="11"/>
      <c r="C51" s="19"/>
      <c r="D51" s="11"/>
      <c r="E51" s="11">
        <v>3238</v>
      </c>
      <c r="F51" s="28" t="s">
        <v>100</v>
      </c>
      <c r="G51" s="80">
        <f>9435.31/7.5345</f>
        <v>1252.2808414626052</v>
      </c>
      <c r="H51" s="8">
        <v>3500</v>
      </c>
      <c r="I51" s="83">
        <v>2871.96</v>
      </c>
      <c r="J51" s="82">
        <f t="shared" si="4"/>
        <v>229.33833249781941</v>
      </c>
      <c r="K51" s="82">
        <f t="shared" si="5"/>
        <v>82.055999999999997</v>
      </c>
    </row>
    <row r="52" spans="2:11" x14ac:dyDescent="0.25">
      <c r="B52" s="11"/>
      <c r="C52" s="19"/>
      <c r="D52" s="11"/>
      <c r="E52" s="11">
        <v>3237</v>
      </c>
      <c r="F52" s="28" t="s">
        <v>116</v>
      </c>
      <c r="G52" s="80">
        <f>15447.96/7.5345</f>
        <v>2050.2966354768064</v>
      </c>
      <c r="H52" s="8">
        <v>0</v>
      </c>
      <c r="I52" s="83"/>
      <c r="J52" s="82">
        <f t="shared" si="4"/>
        <v>0</v>
      </c>
      <c r="K52" s="84" t="s">
        <v>117</v>
      </c>
    </row>
    <row r="53" spans="2:11" x14ac:dyDescent="0.25">
      <c r="B53" s="11"/>
      <c r="C53" s="19"/>
      <c r="D53" s="11"/>
      <c r="E53" s="11">
        <v>3239</v>
      </c>
      <c r="F53" s="28" t="s">
        <v>101</v>
      </c>
      <c r="G53" s="80">
        <f>26788.4/7.5345</f>
        <v>3555.4316809343686</v>
      </c>
      <c r="H53" s="8">
        <v>3000</v>
      </c>
      <c r="I53" s="83">
        <v>1342.28</v>
      </c>
      <c r="J53" s="82">
        <f t="shared" si="4"/>
        <v>37.752940302519001</v>
      </c>
      <c r="K53" s="82">
        <f t="shared" si="5"/>
        <v>44.742666666666665</v>
      </c>
    </row>
    <row r="54" spans="2:11" x14ac:dyDescent="0.25">
      <c r="B54" s="11"/>
      <c r="C54" s="19"/>
      <c r="D54" s="11">
        <v>329</v>
      </c>
      <c r="E54" s="11"/>
      <c r="F54" s="28" t="s">
        <v>105</v>
      </c>
      <c r="G54" s="80">
        <f>SUM(G55:G59)</f>
        <v>5736.6314951224358</v>
      </c>
      <c r="H54" s="8">
        <f>H55+H56+H57+H58+H59</f>
        <v>12000</v>
      </c>
      <c r="I54" s="83">
        <f>SUM(I55:I59)</f>
        <v>6373.1100000000015</v>
      </c>
      <c r="J54" s="82">
        <f t="shared" si="4"/>
        <v>111.09498676041385</v>
      </c>
      <c r="K54" s="82">
        <f t="shared" si="5"/>
        <v>53.10925000000001</v>
      </c>
    </row>
    <row r="55" spans="2:11" x14ac:dyDescent="0.25">
      <c r="B55" s="11"/>
      <c r="C55" s="19"/>
      <c r="D55" s="11"/>
      <c r="E55" s="11">
        <v>3292</v>
      </c>
      <c r="F55" s="28" t="s">
        <v>102</v>
      </c>
      <c r="G55" s="80">
        <f>27206.87/7.5345</f>
        <v>3610.9721945716369</v>
      </c>
      <c r="H55" s="8">
        <v>5500</v>
      </c>
      <c r="I55" s="83">
        <v>5229.8900000000003</v>
      </c>
      <c r="J55" s="82">
        <f t="shared" si="4"/>
        <v>144.83329469725848</v>
      </c>
      <c r="K55" s="82">
        <f t="shared" si="5"/>
        <v>95.088909090909098</v>
      </c>
    </row>
    <row r="56" spans="2:11" x14ac:dyDescent="0.25">
      <c r="B56" s="11"/>
      <c r="C56" s="19"/>
      <c r="D56" s="11"/>
      <c r="E56" s="11">
        <v>3293</v>
      </c>
      <c r="F56" s="28" t="s">
        <v>103</v>
      </c>
      <c r="G56" s="80">
        <f>(8849.39+1657.07)/7.5345</f>
        <v>1394.4468776959318</v>
      </c>
      <c r="H56" s="8">
        <f>3500+920</f>
        <v>4420</v>
      </c>
      <c r="I56" s="83">
        <v>525.98</v>
      </c>
      <c r="J56" s="82">
        <f t="shared" si="4"/>
        <v>37.719615455633971</v>
      </c>
      <c r="K56" s="82">
        <f t="shared" si="5"/>
        <v>11.9</v>
      </c>
    </row>
    <row r="57" spans="2:11" x14ac:dyDescent="0.25">
      <c r="B57" s="11"/>
      <c r="C57" s="19"/>
      <c r="D57" s="11"/>
      <c r="E57" s="11">
        <v>3294</v>
      </c>
      <c r="F57" s="28" t="s">
        <v>206</v>
      </c>
      <c r="G57" s="80">
        <v>0</v>
      </c>
      <c r="H57" s="8">
        <v>130</v>
      </c>
      <c r="I57" s="83">
        <v>89.27</v>
      </c>
      <c r="J57" s="84" t="s">
        <v>117</v>
      </c>
      <c r="K57" s="82">
        <f t="shared" si="5"/>
        <v>68.669230769230765</v>
      </c>
    </row>
    <row r="58" spans="2:11" x14ac:dyDescent="0.25">
      <c r="B58" s="11"/>
      <c r="C58" s="19"/>
      <c r="D58" s="11"/>
      <c r="E58" s="11">
        <v>3295</v>
      </c>
      <c r="F58" s="28" t="s">
        <v>104</v>
      </c>
      <c r="G58" s="80">
        <f>255/7.5345</f>
        <v>33.844316145729643</v>
      </c>
      <c r="H58" s="8">
        <v>400</v>
      </c>
      <c r="I58" s="83"/>
      <c r="J58" s="82">
        <f t="shared" si="4"/>
        <v>0</v>
      </c>
      <c r="K58" s="82">
        <f t="shared" si="5"/>
        <v>0</v>
      </c>
    </row>
    <row r="59" spans="2:11" x14ac:dyDescent="0.25">
      <c r="B59" s="11"/>
      <c r="C59" s="19"/>
      <c r="D59" s="11"/>
      <c r="E59" s="11">
        <v>3299</v>
      </c>
      <c r="F59" s="28" t="s">
        <v>105</v>
      </c>
      <c r="G59" s="80">
        <f>5254.32/7.5345</f>
        <v>697.36810670913792</v>
      </c>
      <c r="H59" s="8">
        <v>1550</v>
      </c>
      <c r="I59" s="83">
        <v>527.97</v>
      </c>
      <c r="J59" s="82">
        <f t="shared" si="4"/>
        <v>75.708939786689825</v>
      </c>
      <c r="K59" s="82">
        <f t="shared" si="5"/>
        <v>34.062580645161297</v>
      </c>
    </row>
    <row r="60" spans="2:11" x14ac:dyDescent="0.25">
      <c r="B60" s="11"/>
      <c r="C60" s="11">
        <v>34</v>
      </c>
      <c r="D60" s="12"/>
      <c r="E60" s="12"/>
      <c r="F60" s="11" t="s">
        <v>108</v>
      </c>
      <c r="G60" s="80">
        <f t="shared" ref="G60:I61" si="6">G61</f>
        <v>1122.3425575685183</v>
      </c>
      <c r="H60" s="8">
        <f t="shared" si="6"/>
        <v>1700</v>
      </c>
      <c r="I60" s="83">
        <f t="shared" si="6"/>
        <v>753.55</v>
      </c>
      <c r="J60" s="82">
        <f t="shared" si="4"/>
        <v>67.140820324279318</v>
      </c>
      <c r="K60" s="82">
        <f t="shared" si="5"/>
        <v>44.326470588235289</v>
      </c>
    </row>
    <row r="61" spans="2:11" x14ac:dyDescent="0.25">
      <c r="B61" s="11"/>
      <c r="C61" s="11"/>
      <c r="D61" s="11">
        <v>343</v>
      </c>
      <c r="E61" s="11"/>
      <c r="F61" s="11" t="s">
        <v>109</v>
      </c>
      <c r="G61" s="80">
        <f t="shared" si="6"/>
        <v>1122.3425575685183</v>
      </c>
      <c r="H61" s="8">
        <f t="shared" si="6"/>
        <v>1700</v>
      </c>
      <c r="I61" s="83">
        <f t="shared" si="6"/>
        <v>753.55</v>
      </c>
      <c r="J61" s="82">
        <f t="shared" si="4"/>
        <v>67.140820324279318</v>
      </c>
      <c r="K61" s="82">
        <f t="shared" si="5"/>
        <v>44.326470588235289</v>
      </c>
    </row>
    <row r="62" spans="2:11" x14ac:dyDescent="0.25">
      <c r="B62" s="11"/>
      <c r="C62" s="19"/>
      <c r="D62" s="11"/>
      <c r="E62" s="11">
        <v>3431</v>
      </c>
      <c r="F62" s="28" t="s">
        <v>110</v>
      </c>
      <c r="G62" s="80">
        <f>8456.29/7.5345</f>
        <v>1122.3425575685183</v>
      </c>
      <c r="H62" s="8">
        <v>1700</v>
      </c>
      <c r="I62" s="83">
        <v>753.55</v>
      </c>
      <c r="J62" s="82">
        <f t="shared" si="4"/>
        <v>67.140820324279318</v>
      </c>
      <c r="K62" s="82">
        <f t="shared" si="5"/>
        <v>44.326470588235289</v>
      </c>
    </row>
    <row r="63" spans="2:11" s="56" customFormat="1" x14ac:dyDescent="0.25">
      <c r="B63" s="13">
        <v>4</v>
      </c>
      <c r="C63" s="13"/>
      <c r="D63" s="13"/>
      <c r="E63" s="13"/>
      <c r="F63" s="17" t="s">
        <v>6</v>
      </c>
      <c r="G63" s="78">
        <f>G64</f>
        <v>41616.329689428632</v>
      </c>
      <c r="H63" s="60">
        <f>H64</f>
        <v>4010</v>
      </c>
      <c r="I63" s="82">
        <f>I64</f>
        <v>3019.4900000000002</v>
      </c>
      <c r="J63" s="82">
        <f t="shared" si="4"/>
        <v>7.2555413284487944</v>
      </c>
      <c r="K63" s="82">
        <f t="shared" si="5"/>
        <v>75.299002493765585</v>
      </c>
    </row>
    <row r="64" spans="2:11" ht="30" customHeight="1" x14ac:dyDescent="0.25">
      <c r="B64" s="14"/>
      <c r="C64" s="14">
        <v>42</v>
      </c>
      <c r="D64" s="14"/>
      <c r="E64" s="14"/>
      <c r="F64" s="18" t="s">
        <v>111</v>
      </c>
      <c r="G64" s="80">
        <f>G65+G68</f>
        <v>41616.329689428632</v>
      </c>
      <c r="H64" s="8">
        <f>H65+H68</f>
        <v>4010</v>
      </c>
      <c r="I64" s="83">
        <f>I65+I68</f>
        <v>3019.4900000000002</v>
      </c>
      <c r="J64" s="82">
        <f t="shared" si="4"/>
        <v>7.2555413284487944</v>
      </c>
      <c r="K64" s="82">
        <f t="shared" si="5"/>
        <v>75.299002493765585</v>
      </c>
    </row>
    <row r="65" spans="2:11" x14ac:dyDescent="0.25">
      <c r="B65" s="14"/>
      <c r="C65" s="14"/>
      <c r="D65" s="11">
        <v>422</v>
      </c>
      <c r="E65" s="11"/>
      <c r="F65" s="11" t="s">
        <v>112</v>
      </c>
      <c r="G65" s="80">
        <f>G66+G67</f>
        <v>41120.61</v>
      </c>
      <c r="H65" s="8">
        <f>H67</f>
        <v>3540</v>
      </c>
      <c r="I65" s="83">
        <f>I67</f>
        <v>2552.61</v>
      </c>
      <c r="J65" s="82">
        <f t="shared" si="4"/>
        <v>6.2076170562644872</v>
      </c>
      <c r="K65" s="82">
        <f t="shared" si="5"/>
        <v>72.107627118644075</v>
      </c>
    </row>
    <row r="66" spans="2:11" x14ac:dyDescent="0.25">
      <c r="B66" s="14"/>
      <c r="C66" s="14"/>
      <c r="D66" s="11"/>
      <c r="E66" s="11">
        <v>4221</v>
      </c>
      <c r="F66" s="11" t="s">
        <v>212</v>
      </c>
      <c r="G66" s="80">
        <f>2031.25</f>
        <v>2031.25</v>
      </c>
      <c r="H66" s="8">
        <v>0</v>
      </c>
      <c r="I66" s="83">
        <v>0</v>
      </c>
      <c r="J66" s="82">
        <f t="shared" si="4"/>
        <v>0</v>
      </c>
      <c r="K66" s="84" t="s">
        <v>117</v>
      </c>
    </row>
    <row r="67" spans="2:11" x14ac:dyDescent="0.25">
      <c r="B67" s="14"/>
      <c r="C67" s="14"/>
      <c r="D67" s="11"/>
      <c r="E67" s="11">
        <v>4227</v>
      </c>
      <c r="F67" s="11" t="s">
        <v>113</v>
      </c>
      <c r="G67" s="80">
        <v>39089.360000000001</v>
      </c>
      <c r="H67" s="8">
        <v>3540</v>
      </c>
      <c r="I67" s="83">
        <v>2552.61</v>
      </c>
      <c r="J67" s="82">
        <f t="shared" si="4"/>
        <v>6.5301913359543367</v>
      </c>
      <c r="K67" s="82">
        <f t="shared" si="5"/>
        <v>72.107627118644075</v>
      </c>
    </row>
    <row r="68" spans="2:11" x14ac:dyDescent="0.25">
      <c r="B68" s="14"/>
      <c r="C68" s="14"/>
      <c r="D68" s="11">
        <v>426</v>
      </c>
      <c r="E68" s="11"/>
      <c r="F68" s="11" t="s">
        <v>114</v>
      </c>
      <c r="G68" s="80">
        <f>G69</f>
        <v>495.71968942862827</v>
      </c>
      <c r="H68" s="8">
        <f>H69</f>
        <v>470</v>
      </c>
      <c r="I68" s="83">
        <f>I69</f>
        <v>466.88</v>
      </c>
      <c r="J68" s="82">
        <f t="shared" si="4"/>
        <v>94.182258634538158</v>
      </c>
      <c r="K68" s="82">
        <f t="shared" si="5"/>
        <v>99.336170212765964</v>
      </c>
    </row>
    <row r="69" spans="2:11" x14ac:dyDescent="0.25">
      <c r="B69" s="14"/>
      <c r="C69" s="14"/>
      <c r="D69" s="11"/>
      <c r="E69" s="11">
        <v>4262</v>
      </c>
      <c r="F69" s="11" t="s">
        <v>115</v>
      </c>
      <c r="G69" s="80">
        <f>3735/7.5345</f>
        <v>495.71968942862827</v>
      </c>
      <c r="H69" s="8">
        <v>470</v>
      </c>
      <c r="I69" s="83">
        <v>466.88</v>
      </c>
      <c r="J69" s="82">
        <f t="shared" si="4"/>
        <v>94.182258634538158</v>
      </c>
      <c r="K69" s="82">
        <f t="shared" si="5"/>
        <v>99.336170212765964</v>
      </c>
    </row>
    <row r="72" spans="2:11" ht="15" customHeight="1" x14ac:dyDescent="0.25"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2:11" x14ac:dyDescent="0.25"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2:11" ht="4.5" customHeight="1" x14ac:dyDescent="0.25">
      <c r="B74" s="35"/>
      <c r="C74" s="35"/>
      <c r="D74" s="35"/>
      <c r="E74" s="35"/>
      <c r="F74" s="35"/>
      <c r="G74" s="35"/>
      <c r="H74" s="35"/>
      <c r="I74" s="35"/>
      <c r="J74" s="35"/>
      <c r="K74" s="35"/>
    </row>
  </sheetData>
  <mergeCells count="9">
    <mergeCell ref="B28:F28"/>
    <mergeCell ref="B30:F30"/>
    <mergeCell ref="B31:F31"/>
    <mergeCell ref="B1:F1"/>
    <mergeCell ref="B2:K2"/>
    <mergeCell ref="B4:K4"/>
    <mergeCell ref="B6:K6"/>
    <mergeCell ref="B8:F8"/>
    <mergeCell ref="B9:F9"/>
  </mergeCells>
  <pageMargins left="0.7" right="0.7" top="0.75" bottom="0.75" header="0.3" footer="0.3"/>
  <pageSetup paperSize="9"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5"/>
  <sheetViews>
    <sheetView topLeftCell="A31" zoomScaleNormal="100" workbookViewId="0">
      <selection activeCell="E30" sqref="E30:E33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2" spans="2:7" ht="15.75" x14ac:dyDescent="0.25">
      <c r="B2" s="157" t="s">
        <v>77</v>
      </c>
      <c r="C2" s="157"/>
    </row>
    <row r="3" spans="2:7" ht="18" x14ac:dyDescent="0.25">
      <c r="B3" s="3"/>
      <c r="C3" s="3"/>
      <c r="D3" s="3"/>
      <c r="E3" s="4"/>
      <c r="F3" s="4"/>
      <c r="G3" s="4"/>
    </row>
    <row r="4" spans="2:7" ht="15.75" customHeight="1" x14ac:dyDescent="0.25">
      <c r="B4" s="134" t="s">
        <v>48</v>
      </c>
      <c r="C4" s="134"/>
      <c r="D4" s="134"/>
      <c r="E4" s="134"/>
      <c r="F4" s="134"/>
      <c r="G4" s="134"/>
    </row>
    <row r="5" spans="2:7" ht="18" x14ac:dyDescent="0.25">
      <c r="B5" s="3"/>
      <c r="C5" s="3"/>
      <c r="D5" s="3"/>
      <c r="E5" s="4"/>
      <c r="F5" s="4"/>
      <c r="G5" s="4"/>
    </row>
    <row r="6" spans="2:7" ht="33.75" customHeight="1" x14ac:dyDescent="0.25">
      <c r="B6" s="39" t="s">
        <v>8</v>
      </c>
      <c r="C6" s="39" t="s">
        <v>154</v>
      </c>
      <c r="D6" s="39" t="s">
        <v>64</v>
      </c>
      <c r="E6" s="39" t="s">
        <v>155</v>
      </c>
      <c r="F6" s="39" t="s">
        <v>30</v>
      </c>
      <c r="G6" s="39" t="s">
        <v>62</v>
      </c>
    </row>
    <row r="7" spans="2:7" x14ac:dyDescent="0.25">
      <c r="B7" s="39">
        <v>1</v>
      </c>
      <c r="C7" s="42">
        <v>2</v>
      </c>
      <c r="D7" s="42">
        <v>3</v>
      </c>
      <c r="E7" s="42">
        <v>4</v>
      </c>
      <c r="F7" s="42" t="s">
        <v>125</v>
      </c>
      <c r="G7" s="42" t="s">
        <v>185</v>
      </c>
    </row>
    <row r="8" spans="2:7" x14ac:dyDescent="0.25">
      <c r="B8" s="10" t="s">
        <v>58</v>
      </c>
      <c r="C8" s="81">
        <f>C9+C12+C14+C16+C18+C22</f>
        <v>3066497</v>
      </c>
      <c r="D8" s="59">
        <f>D9+D12+D14+D16+D18+D22</f>
        <v>3295255.5300000003</v>
      </c>
      <c r="E8" s="81">
        <f>E9+E14+E12+E16+E18+E22</f>
        <v>3290154.3300000005</v>
      </c>
      <c r="F8" s="83">
        <f>E8/C8*100</f>
        <v>107.2935773294414</v>
      </c>
      <c r="G8" s="83">
        <f>E8/D8*100</f>
        <v>99.845195616741762</v>
      </c>
    </row>
    <row r="9" spans="2:7" x14ac:dyDescent="0.25">
      <c r="B9" s="10" t="s">
        <v>18</v>
      </c>
      <c r="C9" s="78">
        <f>C10+C11</f>
        <v>232660</v>
      </c>
      <c r="D9" s="71">
        <f>D10+D11</f>
        <v>278176.53000000003</v>
      </c>
      <c r="E9" s="85">
        <f>E10+E11</f>
        <v>271202.82</v>
      </c>
      <c r="F9" s="83">
        <f t="shared" ref="F9:F49" si="0">E9/C9*100</f>
        <v>116.56615662339895</v>
      </c>
      <c r="G9" s="83">
        <f t="shared" ref="G9:G50" si="1">E9/D9*100</f>
        <v>97.493063127935329</v>
      </c>
    </row>
    <row r="10" spans="2:7" x14ac:dyDescent="0.25">
      <c r="B10" s="25" t="s">
        <v>19</v>
      </c>
      <c r="C10" s="80">
        <v>27344</v>
      </c>
      <c r="D10" s="70">
        <f>18625+38994.75+965</f>
        <v>58584.75</v>
      </c>
      <c r="E10" s="86">
        <v>51611.040000000001</v>
      </c>
      <c r="F10" s="83">
        <f t="shared" si="0"/>
        <v>188.74722059684026</v>
      </c>
      <c r="G10" s="83">
        <f t="shared" si="1"/>
        <v>88.096373202923971</v>
      </c>
    </row>
    <row r="11" spans="2:7" x14ac:dyDescent="0.25">
      <c r="B11" s="26" t="s">
        <v>118</v>
      </c>
      <c r="C11" s="80">
        <v>205316</v>
      </c>
      <c r="D11" s="70">
        <v>219591.78</v>
      </c>
      <c r="E11" s="86">
        <v>219591.78</v>
      </c>
      <c r="F11" s="83">
        <f t="shared" si="0"/>
        <v>106.95307720781624</v>
      </c>
      <c r="G11" s="83">
        <f t="shared" si="1"/>
        <v>100</v>
      </c>
    </row>
    <row r="12" spans="2:7" s="56" customFormat="1" x14ac:dyDescent="0.25">
      <c r="B12" s="10" t="s">
        <v>126</v>
      </c>
      <c r="C12" s="78">
        <f>C13</f>
        <v>3221</v>
      </c>
      <c r="D12" s="71">
        <f>D13</f>
        <v>781</v>
      </c>
      <c r="E12" s="85">
        <f>E13</f>
        <v>780.92</v>
      </c>
      <c r="F12" s="83">
        <f t="shared" si="0"/>
        <v>24.244644520335299</v>
      </c>
      <c r="G12" s="83">
        <f t="shared" si="1"/>
        <v>99.989756722151085</v>
      </c>
    </row>
    <row r="13" spans="2:7" x14ac:dyDescent="0.25">
      <c r="B13" s="27" t="s">
        <v>127</v>
      </c>
      <c r="C13" s="80">
        <v>3221</v>
      </c>
      <c r="D13" s="70">
        <v>781</v>
      </c>
      <c r="E13" s="86">
        <v>780.92</v>
      </c>
      <c r="F13" s="83">
        <f t="shared" si="0"/>
        <v>24.244644520335299</v>
      </c>
      <c r="G13" s="83">
        <f t="shared" si="1"/>
        <v>99.989756722151085</v>
      </c>
    </row>
    <row r="14" spans="2:7" s="56" customFormat="1" x14ac:dyDescent="0.25">
      <c r="B14" s="10" t="s">
        <v>24</v>
      </c>
      <c r="C14" s="78">
        <f>C15</f>
        <v>96489</v>
      </c>
      <c r="D14" s="71">
        <f>D15</f>
        <v>124120</v>
      </c>
      <c r="E14" s="85">
        <f>E15</f>
        <v>111060</v>
      </c>
      <c r="F14" s="83">
        <f t="shared" si="0"/>
        <v>115.10120324596586</v>
      </c>
      <c r="G14" s="83">
        <f t="shared" si="1"/>
        <v>89.477924589107317</v>
      </c>
    </row>
    <row r="15" spans="2:7" x14ac:dyDescent="0.25">
      <c r="B15" s="27" t="s">
        <v>25</v>
      </c>
      <c r="C15" s="80">
        <v>96489</v>
      </c>
      <c r="D15" s="70">
        <v>124120</v>
      </c>
      <c r="E15" s="86">
        <v>111060</v>
      </c>
      <c r="F15" s="83">
        <f t="shared" si="0"/>
        <v>115.10120324596586</v>
      </c>
      <c r="G15" s="83">
        <f t="shared" si="1"/>
        <v>89.477924589107317</v>
      </c>
    </row>
    <row r="16" spans="2:7" s="56" customFormat="1" x14ac:dyDescent="0.25">
      <c r="B16" s="10" t="s">
        <v>119</v>
      </c>
      <c r="C16" s="78">
        <f>C17</f>
        <v>4738</v>
      </c>
      <c r="D16" s="71">
        <f>D17</f>
        <v>4100</v>
      </c>
      <c r="E16" s="85">
        <f>E17</f>
        <v>23455</v>
      </c>
      <c r="F16" s="83">
        <f t="shared" si="0"/>
        <v>495.04010130856904</v>
      </c>
      <c r="G16" s="83">
        <f t="shared" si="1"/>
        <v>572.07317073170736</v>
      </c>
    </row>
    <row r="17" spans="2:7" x14ac:dyDescent="0.25">
      <c r="B17" s="27" t="s">
        <v>120</v>
      </c>
      <c r="C17" s="80">
        <v>4738</v>
      </c>
      <c r="D17" s="70">
        <f>18321-D27</f>
        <v>4100</v>
      </c>
      <c r="E17" s="86">
        <v>23455</v>
      </c>
      <c r="F17" s="83">
        <f t="shared" si="0"/>
        <v>495.04010130856904</v>
      </c>
      <c r="G17" s="83">
        <f t="shared" si="1"/>
        <v>572.07317073170736</v>
      </c>
    </row>
    <row r="18" spans="2:7" s="56" customFormat="1" x14ac:dyDescent="0.25">
      <c r="B18" s="10" t="s">
        <v>128</v>
      </c>
      <c r="C18" s="78">
        <f>C19+C20+C21</f>
        <v>2729033</v>
      </c>
      <c r="D18" s="71">
        <f>D19+D20+D21</f>
        <v>2887948</v>
      </c>
      <c r="E18" s="85">
        <f>E19+E20+E21</f>
        <v>2883528.66</v>
      </c>
      <c r="F18" s="83">
        <f t="shared" si="0"/>
        <v>105.66118694790427</v>
      </c>
      <c r="G18" s="83">
        <f t="shared" si="1"/>
        <v>99.846973006439171</v>
      </c>
    </row>
    <row r="19" spans="2:7" x14ac:dyDescent="0.25">
      <c r="B19" s="25" t="s">
        <v>129</v>
      </c>
      <c r="C19" s="80">
        <v>2516797</v>
      </c>
      <c r="D19" s="70">
        <f>2707991</f>
        <v>2707991</v>
      </c>
      <c r="E19" s="86">
        <v>2707808.61</v>
      </c>
      <c r="F19" s="83">
        <f t="shared" si="0"/>
        <v>107.58947225382103</v>
      </c>
      <c r="G19" s="83">
        <f t="shared" si="1"/>
        <v>99.993264748664217</v>
      </c>
    </row>
    <row r="20" spans="2:7" x14ac:dyDescent="0.25">
      <c r="B20" s="26" t="s">
        <v>130</v>
      </c>
      <c r="C20" s="80">
        <v>1533</v>
      </c>
      <c r="D20" s="70">
        <v>19267</v>
      </c>
      <c r="E20" s="86">
        <f>18521.07+222.4</f>
        <v>18743.47</v>
      </c>
      <c r="F20" s="83">
        <f t="shared" si="0"/>
        <v>1222.6660143509459</v>
      </c>
      <c r="G20" s="83">
        <f t="shared" si="1"/>
        <v>97.282763273991804</v>
      </c>
    </row>
    <row r="21" spans="2:7" x14ac:dyDescent="0.25">
      <c r="B21" s="26" t="s">
        <v>131</v>
      </c>
      <c r="C21" s="80">
        <v>210703</v>
      </c>
      <c r="D21" s="70">
        <f>140540+16600+3550</f>
        <v>160690</v>
      </c>
      <c r="E21" s="86">
        <v>156976.57999999999</v>
      </c>
      <c r="F21" s="83">
        <f t="shared" si="0"/>
        <v>74.501350241809561</v>
      </c>
      <c r="G21" s="83">
        <f t="shared" si="1"/>
        <v>97.689078349617262</v>
      </c>
    </row>
    <row r="22" spans="2:7" s="56" customFormat="1" ht="25.5" x14ac:dyDescent="0.25">
      <c r="B22" s="10" t="s">
        <v>132</v>
      </c>
      <c r="C22" s="78">
        <f>C23</f>
        <v>356</v>
      </c>
      <c r="D22" s="71">
        <f>D23</f>
        <v>130</v>
      </c>
      <c r="E22" s="85">
        <f>E23</f>
        <v>126.93</v>
      </c>
      <c r="F22" s="83">
        <f t="shared" si="0"/>
        <v>35.65449438202247</v>
      </c>
      <c r="G22" s="83">
        <f t="shared" si="1"/>
        <v>97.638461538461542</v>
      </c>
    </row>
    <row r="23" spans="2:7" ht="25.5" x14ac:dyDescent="0.25">
      <c r="B23" s="27" t="s">
        <v>133</v>
      </c>
      <c r="C23" s="80">
        <v>356</v>
      </c>
      <c r="D23" s="70">
        <v>130</v>
      </c>
      <c r="E23" s="86">
        <v>126.93</v>
      </c>
      <c r="F23" s="83">
        <f t="shared" si="0"/>
        <v>35.65449438202247</v>
      </c>
      <c r="G23" s="83">
        <f t="shared" si="1"/>
        <v>97.638461538461542</v>
      </c>
    </row>
    <row r="24" spans="2:7" s="56" customFormat="1" x14ac:dyDescent="0.25">
      <c r="B24" s="10" t="s">
        <v>121</v>
      </c>
      <c r="C24" s="78">
        <f>C25+C26</f>
        <v>304113</v>
      </c>
      <c r="D24" s="71">
        <f>D25+D27+D26</f>
        <v>185444</v>
      </c>
      <c r="E24" s="85">
        <f>E25+E26+E27+E28</f>
        <v>190162.56</v>
      </c>
      <c r="F24" s="83">
        <f t="shared" si="0"/>
        <v>62.53023053930611</v>
      </c>
      <c r="G24" s="83">
        <f t="shared" si="1"/>
        <v>102.54446625396345</v>
      </c>
    </row>
    <row r="25" spans="2:7" x14ac:dyDescent="0.25">
      <c r="B25" s="26" t="s">
        <v>134</v>
      </c>
      <c r="C25" s="80">
        <v>75379</v>
      </c>
      <c r="D25" s="70">
        <v>48754</v>
      </c>
      <c r="E25" s="86">
        <v>48753.67</v>
      </c>
      <c r="F25" s="83">
        <f t="shared" si="0"/>
        <v>64.678053569296495</v>
      </c>
      <c r="G25" s="83">
        <f t="shared" si="1"/>
        <v>99.99932313246093</v>
      </c>
    </row>
    <row r="26" spans="2:7" x14ac:dyDescent="0.25">
      <c r="B26" s="26" t="s">
        <v>135</v>
      </c>
      <c r="C26" s="80">
        <v>228734</v>
      </c>
      <c r="D26" s="70">
        <v>122469</v>
      </c>
      <c r="E26" s="86">
        <v>122469.69</v>
      </c>
      <c r="F26" s="83">
        <f t="shared" si="0"/>
        <v>53.542407337781007</v>
      </c>
      <c r="G26" s="83">
        <f t="shared" si="1"/>
        <v>100.00056340788281</v>
      </c>
    </row>
    <row r="27" spans="2:7" x14ac:dyDescent="0.25">
      <c r="B27" s="26" t="s">
        <v>184</v>
      </c>
      <c r="C27" s="80">
        <v>0</v>
      </c>
      <c r="D27" s="70">
        <v>14221</v>
      </c>
      <c r="E27" s="86">
        <v>18276</v>
      </c>
      <c r="F27" s="87" t="s">
        <v>117</v>
      </c>
      <c r="G27" s="83">
        <f t="shared" si="1"/>
        <v>128.51416918641445</v>
      </c>
    </row>
    <row r="28" spans="2:7" x14ac:dyDescent="0.25">
      <c r="B28" s="26" t="s">
        <v>232</v>
      </c>
      <c r="C28" s="80">
        <v>0</v>
      </c>
      <c r="D28" s="70">
        <v>0</v>
      </c>
      <c r="E28" s="86">
        <v>663.2</v>
      </c>
      <c r="F28" s="87" t="s">
        <v>117</v>
      </c>
      <c r="G28" s="87" t="s">
        <v>117</v>
      </c>
    </row>
    <row r="29" spans="2:7" s="56" customFormat="1" x14ac:dyDescent="0.25">
      <c r="B29" s="13" t="s">
        <v>87</v>
      </c>
      <c r="C29" s="78">
        <f>C8+C24</f>
        <v>3370610</v>
      </c>
      <c r="D29" s="71">
        <f>D8+D24</f>
        <v>3480699.5300000003</v>
      </c>
      <c r="E29" s="85">
        <f>E8+E24</f>
        <v>3480316.8900000006</v>
      </c>
      <c r="F29" s="82">
        <f t="shared" si="0"/>
        <v>103.25480818012171</v>
      </c>
      <c r="G29" s="82">
        <f t="shared" si="1"/>
        <v>99.989006807490796</v>
      </c>
    </row>
    <row r="30" spans="2:7" x14ac:dyDescent="0.25">
      <c r="B30" s="27"/>
      <c r="C30" s="80"/>
      <c r="D30" s="69"/>
      <c r="E30" s="86"/>
      <c r="F30" s="83"/>
      <c r="G30" s="83"/>
    </row>
    <row r="31" spans="2:7" s="56" customFormat="1" ht="15.75" customHeight="1" x14ac:dyDescent="0.25">
      <c r="B31" s="10" t="s">
        <v>59</v>
      </c>
      <c r="C31" s="78">
        <f>C32+C35+C37+C39+C41+C45+C47</f>
        <v>3161544</v>
      </c>
      <c r="D31" s="71">
        <f>D32+D35+D37+D39+D41+D45+D47</f>
        <v>3480699.5300000003</v>
      </c>
      <c r="E31" s="85">
        <f>E32+E35+E37+E39+E41+E45+E47</f>
        <v>3415956.4</v>
      </c>
      <c r="F31" s="83">
        <f t="shared" si="0"/>
        <v>108.04709344548107</v>
      </c>
      <c r="G31" s="83">
        <f t="shared" si="1"/>
        <v>98.139939128845171</v>
      </c>
    </row>
    <row r="32" spans="2:7" s="56" customFormat="1" x14ac:dyDescent="0.25">
      <c r="B32" s="10" t="s">
        <v>18</v>
      </c>
      <c r="C32" s="78">
        <f>C33+C34</f>
        <v>231313</v>
      </c>
      <c r="D32" s="71">
        <f>D33+D34</f>
        <v>278176.53000000003</v>
      </c>
      <c r="E32" s="85">
        <f>E33+E34</f>
        <v>271226.26</v>
      </c>
      <c r="F32" s="83">
        <f t="shared" si="0"/>
        <v>117.2550872627133</v>
      </c>
      <c r="G32" s="83">
        <f t="shared" si="1"/>
        <v>97.501489431908567</v>
      </c>
    </row>
    <row r="33" spans="2:7" x14ac:dyDescent="0.25">
      <c r="B33" s="25" t="s">
        <v>19</v>
      </c>
      <c r="C33" s="80">
        <v>25997</v>
      </c>
      <c r="D33" s="70">
        <f>62134.75-3550</f>
        <v>58584.75</v>
      </c>
      <c r="E33" s="86">
        <v>51634.48</v>
      </c>
      <c r="F33" s="83">
        <f t="shared" si="0"/>
        <v>198.61707120052316</v>
      </c>
      <c r="G33" s="83">
        <f t="shared" si="1"/>
        <v>88.136383615189956</v>
      </c>
    </row>
    <row r="34" spans="2:7" x14ac:dyDescent="0.25">
      <c r="B34" s="26" t="s">
        <v>118</v>
      </c>
      <c r="C34" s="80">
        <v>205316</v>
      </c>
      <c r="D34" s="70">
        <v>219591.78</v>
      </c>
      <c r="E34" s="86">
        <v>219591.78</v>
      </c>
      <c r="F34" s="83">
        <f t="shared" si="0"/>
        <v>106.95307720781624</v>
      </c>
      <c r="G34" s="83">
        <f t="shared" si="1"/>
        <v>100</v>
      </c>
    </row>
    <row r="35" spans="2:7" s="56" customFormat="1" x14ac:dyDescent="0.25">
      <c r="B35" s="10" t="s">
        <v>126</v>
      </c>
      <c r="C35" s="78">
        <f>C36</f>
        <v>3221</v>
      </c>
      <c r="D35" s="71">
        <f>D36</f>
        <v>781</v>
      </c>
      <c r="E35" s="85">
        <f>E36</f>
        <v>479.97</v>
      </c>
      <c r="F35" s="83">
        <f t="shared" si="0"/>
        <v>14.901272896615957</v>
      </c>
      <c r="G35" s="83">
        <f t="shared" si="1"/>
        <v>61.455825864276569</v>
      </c>
    </row>
    <row r="36" spans="2:7" x14ac:dyDescent="0.25">
      <c r="B36" s="27" t="s">
        <v>127</v>
      </c>
      <c r="C36" s="80">
        <v>3221</v>
      </c>
      <c r="D36" s="70">
        <v>781</v>
      </c>
      <c r="E36" s="86">
        <v>479.97</v>
      </c>
      <c r="F36" s="83">
        <f t="shared" si="0"/>
        <v>14.901272896615957</v>
      </c>
      <c r="G36" s="83">
        <f t="shared" si="1"/>
        <v>61.455825864276569</v>
      </c>
    </row>
    <row r="37" spans="2:7" s="56" customFormat="1" x14ac:dyDescent="0.25">
      <c r="B37" s="10" t="s">
        <v>24</v>
      </c>
      <c r="C37" s="78">
        <f>C38</f>
        <v>93781</v>
      </c>
      <c r="D37" s="71">
        <f>D38</f>
        <v>124120</v>
      </c>
      <c r="E37" s="85">
        <f>E38</f>
        <v>125794.6</v>
      </c>
      <c r="F37" s="83">
        <f t="shared" si="0"/>
        <v>134.13655218007912</v>
      </c>
      <c r="G37" s="83">
        <f t="shared" si="1"/>
        <v>101.34917821463101</v>
      </c>
    </row>
    <row r="38" spans="2:7" x14ac:dyDescent="0.25">
      <c r="B38" s="27" t="s">
        <v>25</v>
      </c>
      <c r="C38" s="80">
        <v>93781</v>
      </c>
      <c r="D38" s="70">
        <v>124120</v>
      </c>
      <c r="E38" s="86">
        <v>125794.6</v>
      </c>
      <c r="F38" s="83">
        <f t="shared" si="0"/>
        <v>134.13655218007912</v>
      </c>
      <c r="G38" s="83">
        <f t="shared" si="1"/>
        <v>101.34917821463101</v>
      </c>
    </row>
    <row r="39" spans="2:7" s="56" customFormat="1" x14ac:dyDescent="0.25">
      <c r="B39" s="10" t="s">
        <v>119</v>
      </c>
      <c r="C39" s="78">
        <f>C40</f>
        <v>4738</v>
      </c>
      <c r="D39" s="71">
        <f>D40</f>
        <v>4100</v>
      </c>
      <c r="E39" s="85">
        <f>E40</f>
        <v>5202.7</v>
      </c>
      <c r="F39" s="83">
        <f t="shared" si="0"/>
        <v>109.80793583790629</v>
      </c>
      <c r="G39" s="83">
        <f t="shared" si="1"/>
        <v>126.89512195121951</v>
      </c>
    </row>
    <row r="40" spans="2:7" x14ac:dyDescent="0.25">
      <c r="B40" s="27" t="s">
        <v>120</v>
      </c>
      <c r="C40" s="80">
        <v>4738</v>
      </c>
      <c r="D40" s="70">
        <f>18321-14221</f>
        <v>4100</v>
      </c>
      <c r="E40" s="86">
        <v>5202.7</v>
      </c>
      <c r="F40" s="83">
        <f t="shared" si="0"/>
        <v>109.80793583790629</v>
      </c>
      <c r="G40" s="83">
        <f t="shared" si="1"/>
        <v>126.89512195121951</v>
      </c>
    </row>
    <row r="41" spans="2:7" s="56" customFormat="1" x14ac:dyDescent="0.25">
      <c r="B41" s="10" t="s">
        <v>128</v>
      </c>
      <c r="C41" s="78">
        <f>C42+C43+C44</f>
        <v>2713582</v>
      </c>
      <c r="D41" s="71">
        <f>SUM(D42:D44)</f>
        <v>2887948</v>
      </c>
      <c r="E41" s="85">
        <f>E42+E43+E44</f>
        <v>2828212.66</v>
      </c>
      <c r="F41" s="83">
        <f t="shared" si="0"/>
        <v>104.22433005525538</v>
      </c>
      <c r="G41" s="83">
        <f t="shared" si="1"/>
        <v>97.931564557256578</v>
      </c>
    </row>
    <row r="42" spans="2:7" x14ac:dyDescent="0.25">
      <c r="B42" s="25" t="s">
        <v>129</v>
      </c>
      <c r="C42" s="80">
        <v>2498338</v>
      </c>
      <c r="D42" s="70">
        <f>2756745-48754</f>
        <v>2707991</v>
      </c>
      <c r="E42" s="86">
        <f>2753207.87-48753.67</f>
        <v>2704454.2</v>
      </c>
      <c r="F42" s="83">
        <f t="shared" si="0"/>
        <v>108.25013268821112</v>
      </c>
      <c r="G42" s="83">
        <f t="shared" si="1"/>
        <v>99.869393952934118</v>
      </c>
    </row>
    <row r="43" spans="2:7" x14ac:dyDescent="0.25">
      <c r="B43" s="26" t="s">
        <v>130</v>
      </c>
      <c r="C43" s="80">
        <v>4542</v>
      </c>
      <c r="D43" s="70">
        <v>19267</v>
      </c>
      <c r="E43" s="86">
        <v>19558.919999999998</v>
      </c>
      <c r="F43" s="83">
        <f t="shared" si="0"/>
        <v>430.62351387054161</v>
      </c>
      <c r="G43" s="83">
        <f t="shared" si="1"/>
        <v>101.51512949602947</v>
      </c>
    </row>
    <row r="44" spans="2:7" x14ac:dyDescent="0.25">
      <c r="B44" s="26" t="s">
        <v>131</v>
      </c>
      <c r="C44" s="80">
        <v>210702</v>
      </c>
      <c r="D44" s="70">
        <f>279609-122469+3550</f>
        <v>160690</v>
      </c>
      <c r="E44" s="86">
        <f>226669.23-122469.69</f>
        <v>104199.54000000001</v>
      </c>
      <c r="F44" s="83">
        <f t="shared" si="0"/>
        <v>49.453512543782217</v>
      </c>
      <c r="G44" s="83">
        <f t="shared" si="1"/>
        <v>64.845068143630598</v>
      </c>
    </row>
    <row r="45" spans="2:7" s="56" customFormat="1" ht="25.5" x14ac:dyDescent="0.25">
      <c r="B45" s="10" t="s">
        <v>132</v>
      </c>
      <c r="C45" s="78">
        <f>C46</f>
        <v>356</v>
      </c>
      <c r="D45" s="71">
        <f>D46</f>
        <v>130</v>
      </c>
      <c r="E45" s="85">
        <f>E46</f>
        <v>126.93</v>
      </c>
      <c r="F45" s="83">
        <f t="shared" si="0"/>
        <v>35.65449438202247</v>
      </c>
      <c r="G45" s="83">
        <f t="shared" si="1"/>
        <v>97.638461538461542</v>
      </c>
    </row>
    <row r="46" spans="2:7" ht="25.5" x14ac:dyDescent="0.25">
      <c r="B46" s="27" t="s">
        <v>133</v>
      </c>
      <c r="C46" s="80">
        <v>356</v>
      </c>
      <c r="D46" s="70">
        <v>130</v>
      </c>
      <c r="E46" s="86">
        <v>126.93</v>
      </c>
      <c r="F46" s="83">
        <f t="shared" si="0"/>
        <v>35.65449438202247</v>
      </c>
      <c r="G46" s="83">
        <f t="shared" si="1"/>
        <v>97.638461538461542</v>
      </c>
    </row>
    <row r="47" spans="2:7" s="56" customFormat="1" x14ac:dyDescent="0.25">
      <c r="B47" s="10" t="s">
        <v>121</v>
      </c>
      <c r="C47" s="78">
        <f>C48+C49</f>
        <v>114553</v>
      </c>
      <c r="D47" s="71">
        <f>D48+D49+D50</f>
        <v>185444</v>
      </c>
      <c r="E47" s="85">
        <f>E48+E49+E50+E51</f>
        <v>184913.27999999997</v>
      </c>
      <c r="F47" s="83">
        <f t="shared" si="0"/>
        <v>161.42159524412278</v>
      </c>
      <c r="G47" s="83">
        <f t="shared" si="1"/>
        <v>99.713811177498314</v>
      </c>
    </row>
    <row r="48" spans="2:7" x14ac:dyDescent="0.25">
      <c r="B48" s="26" t="s">
        <v>134</v>
      </c>
      <c r="C48" s="80">
        <v>8288</v>
      </c>
      <c r="D48" s="70">
        <v>48754</v>
      </c>
      <c r="E48" s="86">
        <v>48753.67</v>
      </c>
      <c r="F48" s="83">
        <f t="shared" si="0"/>
        <v>588.24408783783781</v>
      </c>
      <c r="G48" s="83">
        <f t="shared" si="1"/>
        <v>99.99932313246093</v>
      </c>
    </row>
    <row r="49" spans="2:10" x14ac:dyDescent="0.25">
      <c r="B49" s="26" t="s">
        <v>135</v>
      </c>
      <c r="C49" s="80">
        <v>106265</v>
      </c>
      <c r="D49" s="70">
        <v>122469</v>
      </c>
      <c r="E49" s="86">
        <v>122469.69</v>
      </c>
      <c r="F49" s="83">
        <f t="shared" si="0"/>
        <v>115.24932009598645</v>
      </c>
      <c r="G49" s="83">
        <f t="shared" si="1"/>
        <v>100.00056340788281</v>
      </c>
    </row>
    <row r="50" spans="2:10" x14ac:dyDescent="0.25">
      <c r="B50" s="26" t="s">
        <v>184</v>
      </c>
      <c r="C50" s="80">
        <v>0</v>
      </c>
      <c r="D50" s="70">
        <v>14221</v>
      </c>
      <c r="E50" s="86">
        <v>13110.15</v>
      </c>
      <c r="F50" s="87" t="s">
        <v>117</v>
      </c>
      <c r="G50" s="83">
        <f t="shared" si="1"/>
        <v>92.188664650868432</v>
      </c>
    </row>
    <row r="51" spans="2:10" x14ac:dyDescent="0.25">
      <c r="B51" s="26" t="s">
        <v>232</v>
      </c>
      <c r="C51" s="80">
        <v>0</v>
      </c>
      <c r="D51" s="70">
        <v>0</v>
      </c>
      <c r="E51" s="86">
        <v>579.77</v>
      </c>
      <c r="F51" s="87" t="s">
        <v>117</v>
      </c>
      <c r="G51" s="87" t="s">
        <v>117</v>
      </c>
    </row>
    <row r="53" spans="2:10" ht="15" customHeight="1" x14ac:dyDescent="0.25">
      <c r="B53" s="35"/>
      <c r="C53" s="35"/>
      <c r="D53" s="35"/>
      <c r="E53" s="35"/>
      <c r="F53" s="35"/>
      <c r="G53" s="35"/>
      <c r="H53" s="35"/>
      <c r="I53" s="35"/>
      <c r="J53" s="35"/>
    </row>
    <row r="54" spans="2:10" x14ac:dyDescent="0.25">
      <c r="B54" s="35"/>
      <c r="C54" s="35"/>
      <c r="D54" s="35"/>
      <c r="E54" s="35"/>
      <c r="F54" s="35"/>
      <c r="G54" s="35"/>
      <c r="H54" s="35"/>
      <c r="I54" s="35"/>
      <c r="J54" s="35"/>
    </row>
    <row r="55" spans="2:10" x14ac:dyDescent="0.25">
      <c r="B55" s="35"/>
      <c r="C55" s="35"/>
      <c r="D55" s="35"/>
      <c r="E55" s="35"/>
      <c r="F55" s="35"/>
      <c r="G55" s="35"/>
      <c r="H55" s="35"/>
      <c r="I55" s="35"/>
      <c r="J55" s="35"/>
    </row>
  </sheetData>
  <mergeCells count="2">
    <mergeCell ref="B4:G4"/>
    <mergeCell ref="B2:C2"/>
  </mergeCells>
  <pageMargins left="0.7" right="0.7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3"/>
  <sheetViews>
    <sheetView workbookViewId="0">
      <selection activeCell="G8" sqref="G8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2" spans="2:7" ht="15.75" x14ac:dyDescent="0.25">
      <c r="B2" s="52" t="s">
        <v>76</v>
      </c>
    </row>
    <row r="3" spans="2:7" ht="18" x14ac:dyDescent="0.25">
      <c r="B3" s="3"/>
      <c r="C3" s="3"/>
      <c r="D3" s="3"/>
      <c r="E3" s="4"/>
      <c r="F3" s="4"/>
      <c r="G3" s="4"/>
    </row>
    <row r="4" spans="2:7" ht="15.75" customHeight="1" x14ac:dyDescent="0.25">
      <c r="B4" s="134" t="s">
        <v>48</v>
      </c>
      <c r="C4" s="134"/>
      <c r="D4" s="134"/>
      <c r="E4" s="134"/>
      <c r="F4" s="134"/>
      <c r="G4" s="134"/>
    </row>
    <row r="5" spans="2:7" ht="18" x14ac:dyDescent="0.25">
      <c r="B5" s="3"/>
      <c r="C5" s="3"/>
      <c r="D5" s="3"/>
      <c r="E5" s="4"/>
      <c r="F5" s="4"/>
      <c r="G5" s="4"/>
    </row>
    <row r="6" spans="2:7" ht="33.75" customHeight="1" x14ac:dyDescent="0.25">
      <c r="B6" s="39" t="s">
        <v>8</v>
      </c>
      <c r="C6" s="39" t="s">
        <v>180</v>
      </c>
      <c r="D6" s="39" t="s">
        <v>64</v>
      </c>
      <c r="E6" s="39" t="s">
        <v>155</v>
      </c>
      <c r="F6" s="39" t="s">
        <v>30</v>
      </c>
      <c r="G6" s="39" t="s">
        <v>62</v>
      </c>
    </row>
    <row r="7" spans="2:7" x14ac:dyDescent="0.25">
      <c r="B7" s="39">
        <v>1</v>
      </c>
      <c r="C7" s="42">
        <v>2</v>
      </c>
      <c r="D7" s="42">
        <v>3</v>
      </c>
      <c r="E7" s="42">
        <v>4</v>
      </c>
      <c r="F7" s="42" t="s">
        <v>125</v>
      </c>
      <c r="G7" s="42" t="s">
        <v>185</v>
      </c>
    </row>
    <row r="8" spans="2:7" x14ac:dyDescent="0.25">
      <c r="B8" s="10" t="s">
        <v>58</v>
      </c>
      <c r="C8" s="81">
        <f>C9+C11+C13</f>
        <v>175334.22999999998</v>
      </c>
      <c r="D8" s="59">
        <f>D9+D11+D13</f>
        <v>185560.9</v>
      </c>
      <c r="E8" s="81">
        <f>E9+E11+E13+E15</f>
        <v>194208.52</v>
      </c>
      <c r="F8" s="83">
        <f t="shared" ref="F8:F29" si="0">E8/C8*100</f>
        <v>110.7647491308457</v>
      </c>
      <c r="G8" s="83">
        <f t="shared" ref="G8:G29" si="1">E8/D8*100</f>
        <v>104.66025978533193</v>
      </c>
    </row>
    <row r="9" spans="2:7" x14ac:dyDescent="0.25">
      <c r="B9" s="10" t="s">
        <v>18</v>
      </c>
      <c r="C9" s="78">
        <f>C10</f>
        <v>83329.48</v>
      </c>
      <c r="D9" s="60">
        <f>D10</f>
        <v>89060.9</v>
      </c>
      <c r="E9" s="82">
        <f>E10</f>
        <v>89060.9</v>
      </c>
      <c r="F9" s="83">
        <f t="shared" si="0"/>
        <v>106.87802203973911</v>
      </c>
      <c r="G9" s="83">
        <f t="shared" si="1"/>
        <v>100</v>
      </c>
    </row>
    <row r="10" spans="2:7" x14ac:dyDescent="0.25">
      <c r="B10" s="25" t="s">
        <v>118</v>
      </c>
      <c r="C10" s="80">
        <v>83329.48</v>
      </c>
      <c r="D10" s="8">
        <v>89060.9</v>
      </c>
      <c r="E10" s="83">
        <v>89060.9</v>
      </c>
      <c r="F10" s="83">
        <f t="shared" si="0"/>
        <v>106.87802203973911</v>
      </c>
      <c r="G10" s="83">
        <f t="shared" si="1"/>
        <v>100</v>
      </c>
    </row>
    <row r="11" spans="2:7" x14ac:dyDescent="0.25">
      <c r="B11" s="10" t="s">
        <v>24</v>
      </c>
      <c r="C11" s="78">
        <f>C12</f>
        <v>5234.22</v>
      </c>
      <c r="D11" s="60">
        <f>D12</f>
        <v>4500</v>
      </c>
      <c r="E11" s="82">
        <f>E12</f>
        <v>7677.22</v>
      </c>
      <c r="F11" s="83">
        <f t="shared" si="0"/>
        <v>146.67362090244583</v>
      </c>
      <c r="G11" s="83">
        <f t="shared" si="1"/>
        <v>170.60488888888889</v>
      </c>
    </row>
    <row r="12" spans="2:7" x14ac:dyDescent="0.25">
      <c r="B12" s="27" t="s">
        <v>25</v>
      </c>
      <c r="C12" s="80">
        <v>5234.22</v>
      </c>
      <c r="D12" s="8">
        <v>4500</v>
      </c>
      <c r="E12" s="83">
        <v>7677.22</v>
      </c>
      <c r="F12" s="83">
        <f t="shared" si="0"/>
        <v>146.67362090244583</v>
      </c>
      <c r="G12" s="83">
        <f t="shared" si="1"/>
        <v>170.60488888888889</v>
      </c>
    </row>
    <row r="13" spans="2:7" x14ac:dyDescent="0.25">
      <c r="B13" s="10" t="s">
        <v>119</v>
      </c>
      <c r="C13" s="78">
        <f>C14</f>
        <v>86770.53</v>
      </c>
      <c r="D13" s="60">
        <f>D14</f>
        <v>92000</v>
      </c>
      <c r="E13" s="82">
        <f>E14</f>
        <v>95370.4</v>
      </c>
      <c r="F13" s="83">
        <f t="shared" si="0"/>
        <v>109.9110492928878</v>
      </c>
      <c r="G13" s="83">
        <f t="shared" si="1"/>
        <v>103.66347826086957</v>
      </c>
    </row>
    <row r="14" spans="2:7" x14ac:dyDescent="0.25">
      <c r="B14" s="27" t="s">
        <v>120</v>
      </c>
      <c r="C14" s="80">
        <v>86770.53</v>
      </c>
      <c r="D14" s="8">
        <v>92000</v>
      </c>
      <c r="E14" s="83">
        <v>95370.4</v>
      </c>
      <c r="F14" s="83">
        <f t="shared" si="0"/>
        <v>109.9110492928878</v>
      </c>
      <c r="G14" s="83">
        <f t="shared" si="1"/>
        <v>103.66347826086957</v>
      </c>
    </row>
    <row r="15" spans="2:7" s="56" customFormat="1" x14ac:dyDescent="0.25">
      <c r="B15" s="10" t="s">
        <v>128</v>
      </c>
      <c r="C15" s="78">
        <f>C16</f>
        <v>0</v>
      </c>
      <c r="D15" s="71">
        <f>D16</f>
        <v>0</v>
      </c>
      <c r="E15" s="85">
        <f>E16</f>
        <v>2100</v>
      </c>
      <c r="F15" s="87" t="s">
        <v>117</v>
      </c>
      <c r="G15" s="87" t="s">
        <v>117</v>
      </c>
    </row>
    <row r="16" spans="2:7" x14ac:dyDescent="0.25">
      <c r="B16" s="25" t="s">
        <v>129</v>
      </c>
      <c r="C16" s="80">
        <v>0</v>
      </c>
      <c r="D16" s="70">
        <v>0</v>
      </c>
      <c r="E16" s="86">
        <v>2100</v>
      </c>
      <c r="F16" s="87" t="s">
        <v>117</v>
      </c>
      <c r="G16" s="87" t="s">
        <v>117</v>
      </c>
    </row>
    <row r="17" spans="2:10" x14ac:dyDescent="0.25">
      <c r="B17" s="10" t="s">
        <v>121</v>
      </c>
      <c r="C17" s="78">
        <f>C18</f>
        <v>86667.06</v>
      </c>
      <c r="D17" s="60">
        <f>D18</f>
        <v>52216</v>
      </c>
      <c r="E17" s="82">
        <f>E18</f>
        <v>52216</v>
      </c>
      <c r="F17" s="83">
        <f t="shared" si="0"/>
        <v>60.248957331655184</v>
      </c>
      <c r="G17" s="83">
        <f t="shared" si="1"/>
        <v>100</v>
      </c>
    </row>
    <row r="18" spans="2:10" x14ac:dyDescent="0.25">
      <c r="B18" s="27" t="s">
        <v>122</v>
      </c>
      <c r="C18" s="80">
        <v>86667.06</v>
      </c>
      <c r="D18" s="8">
        <v>52216</v>
      </c>
      <c r="E18" s="83">
        <v>52216</v>
      </c>
      <c r="F18" s="83">
        <f t="shared" si="0"/>
        <v>60.248957331655184</v>
      </c>
      <c r="G18" s="83">
        <f t="shared" si="1"/>
        <v>100</v>
      </c>
    </row>
    <row r="19" spans="2:10" x14ac:dyDescent="0.25">
      <c r="B19" s="10" t="s">
        <v>87</v>
      </c>
      <c r="C19" s="78">
        <f>C8+C17</f>
        <v>262001.28999999998</v>
      </c>
      <c r="D19" s="60">
        <f>D8+D17</f>
        <v>237776.9</v>
      </c>
      <c r="E19" s="82">
        <f>E8+E17</f>
        <v>246424.52</v>
      </c>
      <c r="F19" s="83">
        <f t="shared" si="0"/>
        <v>94.05469721160533</v>
      </c>
      <c r="G19" s="83">
        <f t="shared" si="1"/>
        <v>103.63686295851279</v>
      </c>
    </row>
    <row r="20" spans="2:10" x14ac:dyDescent="0.25">
      <c r="B20" s="27"/>
      <c r="C20" s="80"/>
      <c r="D20" s="8"/>
      <c r="E20" s="83"/>
      <c r="F20" s="83"/>
      <c r="G20" s="83"/>
    </row>
    <row r="21" spans="2:10" ht="15.75" customHeight="1" x14ac:dyDescent="0.25">
      <c r="B21" s="10" t="s">
        <v>59</v>
      </c>
      <c r="C21" s="78">
        <v>210351</v>
      </c>
      <c r="D21" s="60">
        <f>D22+D24+D26+D28</f>
        <v>237776.9</v>
      </c>
      <c r="E21" s="82">
        <f>E22+E24+E26+E28</f>
        <v>169263.59</v>
      </c>
      <c r="F21" s="83">
        <f t="shared" si="0"/>
        <v>80.467214322727258</v>
      </c>
      <c r="G21" s="83">
        <f t="shared" si="1"/>
        <v>71.185884751630624</v>
      </c>
    </row>
    <row r="22" spans="2:10" ht="15.75" customHeight="1" x14ac:dyDescent="0.25">
      <c r="B22" s="10" t="s">
        <v>18</v>
      </c>
      <c r="C22" s="78">
        <f>C23</f>
        <v>83329.48</v>
      </c>
      <c r="D22" s="60">
        <f>D23</f>
        <v>89060.9</v>
      </c>
      <c r="E22" s="82">
        <f>E23</f>
        <v>89060.9</v>
      </c>
      <c r="F22" s="83">
        <f t="shared" si="0"/>
        <v>106.87802203973911</v>
      </c>
      <c r="G22" s="83">
        <f t="shared" si="1"/>
        <v>100</v>
      </c>
    </row>
    <row r="23" spans="2:10" x14ac:dyDescent="0.25">
      <c r="B23" s="25" t="s">
        <v>118</v>
      </c>
      <c r="C23" s="80">
        <v>83329.48</v>
      </c>
      <c r="D23" s="8">
        <v>89060.9</v>
      </c>
      <c r="E23" s="83">
        <v>89060.9</v>
      </c>
      <c r="F23" s="83">
        <f t="shared" si="0"/>
        <v>106.87802203973911</v>
      </c>
      <c r="G23" s="83">
        <f t="shared" si="1"/>
        <v>100</v>
      </c>
    </row>
    <row r="24" spans="2:10" x14ac:dyDescent="0.25">
      <c r="B24" s="10" t="s">
        <v>24</v>
      </c>
      <c r="C24" s="78">
        <f>C25</f>
        <v>5234.22</v>
      </c>
      <c r="D24" s="60">
        <f>D25</f>
        <v>4500</v>
      </c>
      <c r="E24" s="82">
        <f>E25</f>
        <v>7677.22</v>
      </c>
      <c r="F24" s="83">
        <f t="shared" si="0"/>
        <v>146.67362090244583</v>
      </c>
      <c r="G24" s="83">
        <f t="shared" si="1"/>
        <v>170.60488888888889</v>
      </c>
    </row>
    <row r="25" spans="2:10" x14ac:dyDescent="0.25">
      <c r="B25" s="27" t="s">
        <v>25</v>
      </c>
      <c r="C25" s="80">
        <v>5234.22</v>
      </c>
      <c r="D25" s="8">
        <v>4500</v>
      </c>
      <c r="E25" s="83">
        <v>7677.22</v>
      </c>
      <c r="F25" s="83">
        <f t="shared" si="0"/>
        <v>146.67362090244583</v>
      </c>
      <c r="G25" s="83">
        <f t="shared" si="1"/>
        <v>170.60488888888889</v>
      </c>
    </row>
    <row r="26" spans="2:10" x14ac:dyDescent="0.25">
      <c r="B26" s="10" t="s">
        <v>123</v>
      </c>
      <c r="C26" s="78">
        <f>C27</f>
        <v>35121.24</v>
      </c>
      <c r="D26" s="60">
        <f>D27</f>
        <v>92000</v>
      </c>
      <c r="E26" s="82">
        <f>E27</f>
        <v>20309.47</v>
      </c>
      <c r="F26" s="83">
        <f t="shared" si="0"/>
        <v>57.826745297147831</v>
      </c>
      <c r="G26" s="83">
        <f t="shared" si="1"/>
        <v>22.075510869565218</v>
      </c>
    </row>
    <row r="27" spans="2:10" x14ac:dyDescent="0.25">
      <c r="B27" s="27" t="s">
        <v>120</v>
      </c>
      <c r="C27" s="80">
        <v>35121.24</v>
      </c>
      <c r="D27" s="8">
        <f>138506+1700+4010-52216</f>
        <v>92000</v>
      </c>
      <c r="E27" s="83">
        <v>20309.47</v>
      </c>
      <c r="F27" s="83">
        <f t="shared" si="0"/>
        <v>57.826745297147831</v>
      </c>
      <c r="G27" s="83">
        <f t="shared" si="1"/>
        <v>22.075510869565218</v>
      </c>
    </row>
    <row r="28" spans="2:10" x14ac:dyDescent="0.25">
      <c r="B28" s="10" t="s">
        <v>121</v>
      </c>
      <c r="C28" s="78">
        <f>C29</f>
        <v>86667.06</v>
      </c>
      <c r="D28" s="60">
        <f>D29</f>
        <v>52216</v>
      </c>
      <c r="E28" s="82">
        <f>E29</f>
        <v>52216</v>
      </c>
      <c r="F28" s="83">
        <f t="shared" si="0"/>
        <v>60.248957331655184</v>
      </c>
      <c r="G28" s="83">
        <f t="shared" si="1"/>
        <v>100</v>
      </c>
    </row>
    <row r="29" spans="2:10" x14ac:dyDescent="0.25">
      <c r="B29" s="27" t="s">
        <v>122</v>
      </c>
      <c r="C29" s="80">
        <v>86667.06</v>
      </c>
      <c r="D29" s="8">
        <v>52216</v>
      </c>
      <c r="E29" s="83">
        <v>52216</v>
      </c>
      <c r="F29" s="83">
        <f t="shared" si="0"/>
        <v>60.248957331655184</v>
      </c>
      <c r="G29" s="83">
        <f t="shared" si="1"/>
        <v>100</v>
      </c>
    </row>
    <row r="31" spans="2:10" ht="15" customHeight="1" x14ac:dyDescent="0.25">
      <c r="B31" s="35"/>
      <c r="C31" s="35"/>
      <c r="D31" s="35"/>
      <c r="E31" s="35"/>
      <c r="F31" s="35"/>
      <c r="G31" s="35"/>
      <c r="H31" s="35"/>
      <c r="I31" s="35"/>
      <c r="J31" s="35"/>
    </row>
    <row r="32" spans="2:10" x14ac:dyDescent="0.25">
      <c r="B32" s="35"/>
      <c r="C32" s="35"/>
      <c r="D32" s="35"/>
      <c r="E32" s="35"/>
      <c r="F32" s="35"/>
      <c r="G32" s="35"/>
      <c r="H32" s="35"/>
      <c r="I32" s="35"/>
      <c r="J32" s="35"/>
    </row>
    <row r="33" spans="2:10" x14ac:dyDescent="0.25">
      <c r="B33" s="35"/>
      <c r="C33" s="35"/>
      <c r="D33" s="35"/>
      <c r="E33" s="35"/>
      <c r="F33" s="35"/>
      <c r="G33" s="35"/>
      <c r="H33" s="35"/>
      <c r="I33" s="35"/>
      <c r="J33" s="35"/>
    </row>
  </sheetData>
  <mergeCells count="1">
    <mergeCell ref="B4:G4"/>
  </mergeCells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"/>
  <sheetViews>
    <sheetView workbookViewId="0">
      <selection activeCell="F13" sqref="F13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2" spans="2:7" x14ac:dyDescent="0.25">
      <c r="B2" s="64" t="s">
        <v>214</v>
      </c>
    </row>
    <row r="3" spans="2:7" ht="18" x14ac:dyDescent="0.25">
      <c r="B3" s="3"/>
      <c r="C3" s="3"/>
      <c r="D3" s="3"/>
      <c r="E3" s="4"/>
      <c r="F3" s="4"/>
      <c r="G3" s="4"/>
    </row>
    <row r="4" spans="2:7" ht="15.75" customHeight="1" x14ac:dyDescent="0.25">
      <c r="B4" s="134" t="s">
        <v>49</v>
      </c>
      <c r="C4" s="134"/>
      <c r="D4" s="134"/>
      <c r="E4" s="134"/>
      <c r="F4" s="134"/>
      <c r="G4" s="134"/>
    </row>
    <row r="5" spans="2:7" ht="18" x14ac:dyDescent="0.25">
      <c r="B5" s="3"/>
      <c r="C5" s="3"/>
      <c r="D5" s="3"/>
      <c r="E5" s="4"/>
      <c r="F5" s="4"/>
      <c r="G5" s="4"/>
    </row>
    <row r="6" spans="2:7" ht="25.5" x14ac:dyDescent="0.25">
      <c r="B6" s="39" t="s">
        <v>8</v>
      </c>
      <c r="C6" s="39" t="s">
        <v>217</v>
      </c>
      <c r="D6" s="39" t="s">
        <v>64</v>
      </c>
      <c r="E6" s="39" t="s">
        <v>144</v>
      </c>
      <c r="F6" s="39" t="s">
        <v>30</v>
      </c>
      <c r="G6" s="39" t="s">
        <v>62</v>
      </c>
    </row>
    <row r="7" spans="2:7" x14ac:dyDescent="0.25">
      <c r="B7" s="42">
        <v>1</v>
      </c>
      <c r="C7" s="42">
        <v>2</v>
      </c>
      <c r="D7" s="42">
        <v>3</v>
      </c>
      <c r="E7" s="42">
        <v>4</v>
      </c>
      <c r="F7" s="42" t="s">
        <v>125</v>
      </c>
      <c r="G7" s="42" t="s">
        <v>185</v>
      </c>
    </row>
    <row r="8" spans="2:7" s="56" customFormat="1" ht="15.75" customHeight="1" x14ac:dyDescent="0.25">
      <c r="B8" s="10" t="s">
        <v>59</v>
      </c>
      <c r="C8" s="78">
        <f>C9</f>
        <v>3371895.36</v>
      </c>
      <c r="D8" s="60">
        <f>D9</f>
        <v>3718477</v>
      </c>
      <c r="E8" s="82">
        <f>E9</f>
        <v>3585219.9899999998</v>
      </c>
      <c r="F8" s="88">
        <f>E8/C8*100</f>
        <v>106.32654952851206</v>
      </c>
      <c r="G8" s="88">
        <f>E8/D8*100</f>
        <v>96.416355136793896</v>
      </c>
    </row>
    <row r="9" spans="2:7" s="56" customFormat="1" ht="15.75" customHeight="1" x14ac:dyDescent="0.25">
      <c r="B9" s="10" t="s">
        <v>215</v>
      </c>
      <c r="C9" s="78">
        <f>C10+C11</f>
        <v>3371895.36</v>
      </c>
      <c r="D9" s="60">
        <f>D10+D11</f>
        <v>3718477</v>
      </c>
      <c r="E9" s="82">
        <f>E10+E11</f>
        <v>3585219.9899999998</v>
      </c>
      <c r="F9" s="88">
        <f t="shared" ref="F9:F11" si="0">E9/C9*100</f>
        <v>106.32654952851206</v>
      </c>
      <c r="G9" s="88">
        <f t="shared" ref="G9:G11" si="1">E9/D9*100</f>
        <v>96.416355136793896</v>
      </c>
    </row>
    <row r="10" spans="2:7" x14ac:dyDescent="0.25">
      <c r="B10" s="16" t="s">
        <v>218</v>
      </c>
      <c r="C10" s="80">
        <v>3161544.11</v>
      </c>
      <c r="D10" s="8">
        <v>3480700</v>
      </c>
      <c r="E10" s="83">
        <v>3415956.4</v>
      </c>
      <c r="F10" s="89">
        <f t="shared" si="0"/>
        <v>108.04708968618502</v>
      </c>
      <c r="G10" s="89">
        <f t="shared" si="1"/>
        <v>98.139925876978765</v>
      </c>
    </row>
    <row r="11" spans="2:7" x14ac:dyDescent="0.25">
      <c r="B11" s="24" t="s">
        <v>216</v>
      </c>
      <c r="C11" s="80">
        <v>210351.25</v>
      </c>
      <c r="D11" s="8">
        <v>237777</v>
      </c>
      <c r="E11" s="83">
        <v>169263.59</v>
      </c>
      <c r="F11" s="89">
        <f t="shared" si="0"/>
        <v>80.467118688384303</v>
      </c>
      <c r="G11" s="89">
        <f t="shared" si="1"/>
        <v>71.185854813543784</v>
      </c>
    </row>
    <row r="13" spans="2:7" x14ac:dyDescent="0.25">
      <c r="B13" s="35"/>
      <c r="C13" s="35"/>
      <c r="D13" s="35"/>
      <c r="E13" s="35"/>
      <c r="F13" s="35"/>
      <c r="G13" s="35"/>
    </row>
    <row r="14" spans="2:7" x14ac:dyDescent="0.25">
      <c r="B14" s="35"/>
      <c r="C14" s="35"/>
      <c r="D14" s="35"/>
      <c r="E14" s="35"/>
      <c r="F14" s="35"/>
      <c r="G14" s="35"/>
    </row>
    <row r="15" spans="2:7" x14ac:dyDescent="0.25">
      <c r="B15" s="35"/>
      <c r="C15" s="35"/>
      <c r="D15" s="35"/>
      <c r="E15" s="35"/>
      <c r="F15" s="35"/>
      <c r="G15" s="35"/>
    </row>
  </sheetData>
  <mergeCells count="1">
    <mergeCell ref="B4:G4"/>
  </mergeCell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G22" sqref="G2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34" t="s">
        <v>12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34" t="s">
        <v>66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</row>
    <row r="5" spans="2:12" ht="15.75" customHeight="1" x14ac:dyDescent="0.25">
      <c r="B5" s="134" t="s">
        <v>50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50" t="s">
        <v>8</v>
      </c>
      <c r="C7" s="151"/>
      <c r="D7" s="151"/>
      <c r="E7" s="151"/>
      <c r="F7" s="152"/>
      <c r="G7" s="43" t="s">
        <v>28</v>
      </c>
      <c r="H7" s="43" t="s">
        <v>64</v>
      </c>
      <c r="I7" s="43" t="s">
        <v>61</v>
      </c>
      <c r="J7" s="43" t="s">
        <v>29</v>
      </c>
      <c r="K7" s="43" t="s">
        <v>30</v>
      </c>
      <c r="L7" s="43" t="s">
        <v>62</v>
      </c>
    </row>
    <row r="8" spans="2:12" x14ac:dyDescent="0.25">
      <c r="B8" s="150">
        <v>1</v>
      </c>
      <c r="C8" s="151"/>
      <c r="D8" s="151"/>
      <c r="E8" s="151"/>
      <c r="F8" s="152"/>
      <c r="G8" s="44">
        <v>2</v>
      </c>
      <c r="H8" s="44">
        <v>3</v>
      </c>
      <c r="I8" s="44">
        <v>4</v>
      </c>
      <c r="J8" s="44">
        <v>5</v>
      </c>
      <c r="K8" s="44" t="s">
        <v>45</v>
      </c>
      <c r="L8" s="44" t="s">
        <v>46</v>
      </c>
    </row>
    <row r="9" spans="2:12" ht="25.5" x14ac:dyDescent="0.25">
      <c r="B9" s="10">
        <v>8</v>
      </c>
      <c r="C9" s="10"/>
      <c r="D9" s="10"/>
      <c r="E9" s="10"/>
      <c r="F9" s="10" t="s">
        <v>9</v>
      </c>
      <c r="G9" s="8"/>
      <c r="H9" s="8"/>
      <c r="I9" s="8"/>
      <c r="J9" s="32"/>
      <c r="K9" s="32"/>
      <c r="L9" s="32"/>
    </row>
    <row r="10" spans="2:12" x14ac:dyDescent="0.25">
      <c r="B10" s="10"/>
      <c r="C10" s="14">
        <v>84</v>
      </c>
      <c r="D10" s="14"/>
      <c r="E10" s="14"/>
      <c r="F10" s="14" t="s">
        <v>14</v>
      </c>
      <c r="G10" s="8"/>
      <c r="H10" s="8"/>
      <c r="I10" s="8"/>
      <c r="J10" s="32"/>
      <c r="K10" s="32"/>
      <c r="L10" s="32"/>
    </row>
    <row r="11" spans="2:12" ht="51" x14ac:dyDescent="0.25">
      <c r="B11" s="11"/>
      <c r="C11" s="11"/>
      <c r="D11" s="11">
        <v>841</v>
      </c>
      <c r="E11" s="11"/>
      <c r="F11" s="28" t="s">
        <v>51</v>
      </c>
      <c r="G11" s="8"/>
      <c r="H11" s="8"/>
      <c r="I11" s="8"/>
      <c r="J11" s="32"/>
      <c r="K11" s="32"/>
      <c r="L11" s="32"/>
    </row>
    <row r="12" spans="2:12" ht="25.5" x14ac:dyDescent="0.25">
      <c r="B12" s="11"/>
      <c r="C12" s="11"/>
      <c r="D12" s="11"/>
      <c r="E12" s="11">
        <v>8413</v>
      </c>
      <c r="F12" s="28" t="s">
        <v>52</v>
      </c>
      <c r="G12" s="8"/>
      <c r="H12" s="8"/>
      <c r="I12" s="8"/>
      <c r="J12" s="32"/>
      <c r="K12" s="32"/>
      <c r="L12" s="32"/>
    </row>
    <row r="13" spans="2:12" x14ac:dyDescent="0.25">
      <c r="B13" s="11"/>
      <c r="C13" s="11"/>
      <c r="D13" s="11"/>
      <c r="E13" s="12" t="s">
        <v>21</v>
      </c>
      <c r="F13" s="16"/>
      <c r="G13" s="8"/>
      <c r="H13" s="8"/>
      <c r="I13" s="8"/>
      <c r="J13" s="32"/>
      <c r="K13" s="32"/>
      <c r="L13" s="32"/>
    </row>
    <row r="14" spans="2:12" ht="25.5" x14ac:dyDescent="0.25">
      <c r="B14" s="13">
        <v>5</v>
      </c>
      <c r="C14" s="13"/>
      <c r="D14" s="13"/>
      <c r="E14" s="13"/>
      <c r="F14" s="17" t="s">
        <v>10</v>
      </c>
      <c r="G14" s="8"/>
      <c r="H14" s="8"/>
      <c r="I14" s="8"/>
      <c r="J14" s="32"/>
      <c r="K14" s="32"/>
      <c r="L14" s="32"/>
    </row>
    <row r="15" spans="2:12" ht="25.5" x14ac:dyDescent="0.25">
      <c r="B15" s="14"/>
      <c r="C15" s="14">
        <v>54</v>
      </c>
      <c r="D15" s="14"/>
      <c r="E15" s="14"/>
      <c r="F15" s="18" t="s">
        <v>15</v>
      </c>
      <c r="G15" s="8"/>
      <c r="H15" s="8"/>
      <c r="I15" s="9"/>
      <c r="J15" s="32"/>
      <c r="K15" s="32"/>
      <c r="L15" s="32"/>
    </row>
    <row r="16" spans="2:12" ht="63.75" x14ac:dyDescent="0.25">
      <c r="B16" s="14"/>
      <c r="C16" s="14"/>
      <c r="D16" s="14">
        <v>541</v>
      </c>
      <c r="E16" s="28"/>
      <c r="F16" s="28" t="s">
        <v>53</v>
      </c>
      <c r="G16" s="8"/>
      <c r="H16" s="8"/>
      <c r="I16" s="9"/>
      <c r="J16" s="32"/>
      <c r="K16" s="32"/>
      <c r="L16" s="32"/>
    </row>
    <row r="17" spans="2:12" ht="38.25" x14ac:dyDescent="0.25">
      <c r="B17" s="14"/>
      <c r="C17" s="14"/>
      <c r="D17" s="14"/>
      <c r="E17" s="28">
        <v>5413</v>
      </c>
      <c r="F17" s="28" t="s">
        <v>54</v>
      </c>
      <c r="G17" s="8"/>
      <c r="H17" s="8"/>
      <c r="I17" s="9"/>
      <c r="J17" s="32"/>
      <c r="K17" s="32"/>
      <c r="L17" s="32"/>
    </row>
    <row r="18" spans="2:12" x14ac:dyDescent="0.25">
      <c r="B18" s="15"/>
      <c r="C18" s="13"/>
      <c r="D18" s="13"/>
      <c r="E18" s="13"/>
      <c r="F18" s="17" t="s">
        <v>21</v>
      </c>
      <c r="G18" s="8"/>
      <c r="H18" s="8"/>
      <c r="I18" s="8"/>
      <c r="J18" s="32"/>
      <c r="K18" s="32"/>
      <c r="L18" s="32"/>
    </row>
    <row r="20" spans="2:12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E32" sqref="E3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34" t="s">
        <v>55</v>
      </c>
      <c r="C2" s="134"/>
      <c r="D2" s="134"/>
      <c r="E2" s="134"/>
      <c r="F2" s="134"/>
      <c r="G2" s="134"/>
      <c r="H2" s="134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39" t="s">
        <v>8</v>
      </c>
      <c r="C4" s="39" t="s">
        <v>68</v>
      </c>
      <c r="D4" s="39" t="s">
        <v>64</v>
      </c>
      <c r="E4" s="39" t="s">
        <v>61</v>
      </c>
      <c r="F4" s="39" t="s">
        <v>69</v>
      </c>
      <c r="G4" s="39" t="s">
        <v>30</v>
      </c>
      <c r="H4" s="39" t="s">
        <v>62</v>
      </c>
    </row>
    <row r="5" spans="2:8" x14ac:dyDescent="0.25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45</v>
      </c>
      <c r="H5" s="39" t="s">
        <v>46</v>
      </c>
    </row>
    <row r="6" spans="2:8" x14ac:dyDescent="0.25">
      <c r="B6" s="10" t="s">
        <v>56</v>
      </c>
      <c r="C6" s="8"/>
      <c r="D6" s="8"/>
      <c r="E6" s="9"/>
      <c r="F6" s="32"/>
      <c r="G6" s="32"/>
      <c r="H6" s="32"/>
    </row>
    <row r="7" spans="2:8" x14ac:dyDescent="0.25">
      <c r="B7" s="10" t="s">
        <v>18</v>
      </c>
      <c r="C7" s="8"/>
      <c r="D7" s="8"/>
      <c r="E7" s="8"/>
      <c r="F7" s="32"/>
      <c r="G7" s="32"/>
      <c r="H7" s="32"/>
    </row>
    <row r="8" spans="2:8" x14ac:dyDescent="0.25">
      <c r="B8" s="25" t="s">
        <v>19</v>
      </c>
      <c r="C8" s="8"/>
      <c r="D8" s="8"/>
      <c r="E8" s="8"/>
      <c r="F8" s="32"/>
      <c r="G8" s="32"/>
      <c r="H8" s="32"/>
    </row>
    <row r="9" spans="2:8" x14ac:dyDescent="0.25">
      <c r="B9" s="26" t="s">
        <v>20</v>
      </c>
      <c r="C9" s="8"/>
      <c r="D9" s="8"/>
      <c r="E9" s="8"/>
      <c r="F9" s="32"/>
      <c r="G9" s="32"/>
      <c r="H9" s="32"/>
    </row>
    <row r="10" spans="2:8" x14ac:dyDescent="0.25">
      <c r="B10" s="26" t="s">
        <v>21</v>
      </c>
      <c r="C10" s="8"/>
      <c r="D10" s="8"/>
      <c r="E10" s="8"/>
      <c r="F10" s="32"/>
      <c r="G10" s="32"/>
      <c r="H10" s="32"/>
    </row>
    <row r="11" spans="2:8" x14ac:dyDescent="0.25">
      <c r="B11" s="10" t="s">
        <v>22</v>
      </c>
      <c r="C11" s="8"/>
      <c r="D11" s="8"/>
      <c r="E11" s="9"/>
      <c r="F11" s="32"/>
      <c r="G11" s="32"/>
      <c r="H11" s="32"/>
    </row>
    <row r="12" spans="2:8" x14ac:dyDescent="0.25">
      <c r="B12" s="27" t="s">
        <v>23</v>
      </c>
      <c r="C12" s="8"/>
      <c r="D12" s="8"/>
      <c r="E12" s="9"/>
      <c r="F12" s="32"/>
      <c r="G12" s="32"/>
      <c r="H12" s="32"/>
    </row>
    <row r="13" spans="2:8" x14ac:dyDescent="0.25">
      <c r="B13" s="10" t="s">
        <v>24</v>
      </c>
      <c r="C13" s="8"/>
      <c r="D13" s="8"/>
      <c r="E13" s="9"/>
      <c r="F13" s="32"/>
      <c r="G13" s="32"/>
      <c r="H13" s="32"/>
    </row>
    <row r="14" spans="2:8" x14ac:dyDescent="0.25">
      <c r="B14" s="27" t="s">
        <v>25</v>
      </c>
      <c r="C14" s="8"/>
      <c r="D14" s="8"/>
      <c r="E14" s="9"/>
      <c r="F14" s="32"/>
      <c r="G14" s="32"/>
      <c r="H14" s="32"/>
    </row>
    <row r="15" spans="2:8" x14ac:dyDescent="0.25">
      <c r="B15" s="14" t="s">
        <v>16</v>
      </c>
      <c r="C15" s="8"/>
      <c r="D15" s="8"/>
      <c r="E15" s="9"/>
      <c r="F15" s="32"/>
      <c r="G15" s="32"/>
      <c r="H15" s="32"/>
    </row>
    <row r="16" spans="2:8" x14ac:dyDescent="0.25">
      <c r="B16" s="27"/>
      <c r="C16" s="8"/>
      <c r="D16" s="8"/>
      <c r="E16" s="9"/>
      <c r="F16" s="32"/>
      <c r="G16" s="32"/>
      <c r="H16" s="32"/>
    </row>
    <row r="17" spans="2:8" ht="15.75" customHeight="1" x14ac:dyDescent="0.25">
      <c r="B17" s="10" t="s">
        <v>57</v>
      </c>
      <c r="C17" s="8"/>
      <c r="D17" s="8"/>
      <c r="E17" s="9"/>
      <c r="F17" s="32"/>
      <c r="G17" s="32"/>
      <c r="H17" s="32"/>
    </row>
    <row r="18" spans="2:8" ht="15.75" customHeight="1" x14ac:dyDescent="0.25">
      <c r="B18" s="10" t="s">
        <v>18</v>
      </c>
      <c r="C18" s="8"/>
      <c r="D18" s="8"/>
      <c r="E18" s="8"/>
      <c r="F18" s="32"/>
      <c r="G18" s="32"/>
      <c r="H18" s="32"/>
    </row>
    <row r="19" spans="2:8" x14ac:dyDescent="0.25">
      <c r="B19" s="25" t="s">
        <v>19</v>
      </c>
      <c r="C19" s="8"/>
      <c r="D19" s="8"/>
      <c r="E19" s="8"/>
      <c r="F19" s="32"/>
      <c r="G19" s="32"/>
      <c r="H19" s="32"/>
    </row>
    <row r="20" spans="2:8" x14ac:dyDescent="0.25">
      <c r="B20" s="26" t="s">
        <v>20</v>
      </c>
      <c r="C20" s="8"/>
      <c r="D20" s="8"/>
      <c r="E20" s="8"/>
      <c r="F20" s="32"/>
      <c r="G20" s="32"/>
      <c r="H20" s="32"/>
    </row>
    <row r="21" spans="2:8" x14ac:dyDescent="0.25">
      <c r="B21" s="26" t="s">
        <v>21</v>
      </c>
      <c r="C21" s="8"/>
      <c r="D21" s="8"/>
      <c r="E21" s="8"/>
      <c r="F21" s="32"/>
      <c r="G21" s="32"/>
      <c r="H21" s="32"/>
    </row>
    <row r="22" spans="2:8" x14ac:dyDescent="0.25">
      <c r="B22" s="10" t="s">
        <v>22</v>
      </c>
      <c r="C22" s="8"/>
      <c r="D22" s="8"/>
      <c r="E22" s="9"/>
      <c r="F22" s="32"/>
      <c r="G22" s="32"/>
      <c r="H22" s="32"/>
    </row>
    <row r="23" spans="2:8" x14ac:dyDescent="0.25">
      <c r="B23" s="27" t="s">
        <v>23</v>
      </c>
      <c r="C23" s="8"/>
      <c r="D23" s="8"/>
      <c r="E23" s="9"/>
      <c r="F23" s="32"/>
      <c r="G23" s="32"/>
      <c r="H23" s="32"/>
    </row>
    <row r="24" spans="2:8" x14ac:dyDescent="0.25">
      <c r="B24" s="10" t="s">
        <v>24</v>
      </c>
      <c r="C24" s="8"/>
      <c r="D24" s="8"/>
      <c r="E24" s="9"/>
      <c r="F24" s="32"/>
      <c r="G24" s="32"/>
      <c r="H24" s="32"/>
    </row>
    <row r="25" spans="2:8" x14ac:dyDescent="0.25">
      <c r="B25" s="27" t="s">
        <v>25</v>
      </c>
      <c r="C25" s="8"/>
      <c r="D25" s="8"/>
      <c r="E25" s="9"/>
      <c r="F25" s="32"/>
      <c r="G25" s="32"/>
      <c r="H25" s="32"/>
    </row>
    <row r="26" spans="2:8" x14ac:dyDescent="0.25">
      <c r="B26" s="14" t="s">
        <v>16</v>
      </c>
      <c r="C26" s="8"/>
      <c r="D26" s="8"/>
      <c r="E26" s="9"/>
      <c r="F26" s="32"/>
      <c r="G26" s="32"/>
      <c r="H26" s="32"/>
    </row>
    <row r="28" spans="2:8" x14ac:dyDescent="0.25">
      <c r="B28" s="46"/>
      <c r="C28" s="46"/>
      <c r="D28" s="46"/>
      <c r="E28" s="46"/>
      <c r="F28" s="46"/>
      <c r="G28" s="46"/>
      <c r="H28" s="4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95"/>
  <sheetViews>
    <sheetView workbookViewId="0">
      <selection activeCell="I13" sqref="I13"/>
    </sheetView>
  </sheetViews>
  <sheetFormatPr defaultRowHeight="15" x14ac:dyDescent="0.25"/>
  <cols>
    <col min="2" max="2" width="5.28515625" customWidth="1"/>
    <col min="3" max="3" width="2.5703125" customWidth="1"/>
    <col min="4" max="4" width="4.140625" customWidth="1"/>
    <col min="5" max="5" width="39" customWidth="1"/>
    <col min="6" max="7" width="24.28515625" customWidth="1"/>
    <col min="8" max="8" width="15.7109375" customWidth="1"/>
    <col min="9" max="9" width="24.28515625" customWidth="1"/>
  </cols>
  <sheetData>
    <row r="1" spans="2:9" ht="18" x14ac:dyDescent="0.25">
      <c r="B1" s="3"/>
      <c r="C1" s="3"/>
      <c r="D1" s="3"/>
      <c r="E1" s="3"/>
      <c r="F1" s="3"/>
      <c r="G1" s="3"/>
      <c r="H1" s="4"/>
      <c r="I1" s="4"/>
    </row>
    <row r="2" spans="2:9" ht="18" customHeight="1" x14ac:dyDescent="0.25">
      <c r="B2" s="134" t="s">
        <v>11</v>
      </c>
      <c r="C2" s="134"/>
      <c r="D2" s="134"/>
      <c r="E2" s="134"/>
      <c r="F2" s="134"/>
      <c r="G2" s="134"/>
      <c r="H2" s="134"/>
      <c r="I2" s="29"/>
    </row>
    <row r="3" spans="2:9" ht="18" x14ac:dyDescent="0.25">
      <c r="B3" s="3"/>
      <c r="C3" s="3"/>
      <c r="D3" s="3"/>
      <c r="E3" s="3"/>
      <c r="F3" s="3"/>
      <c r="G3" s="3"/>
      <c r="H3" s="4"/>
      <c r="I3" s="4"/>
    </row>
    <row r="4" spans="2:9" ht="15.75" x14ac:dyDescent="0.25">
      <c r="B4" s="169" t="s">
        <v>70</v>
      </c>
      <c r="C4" s="169"/>
      <c r="D4" s="169"/>
      <c r="E4" s="169"/>
      <c r="F4" s="169"/>
      <c r="G4" s="169"/>
      <c r="H4" s="169"/>
    </row>
    <row r="5" spans="2:9" ht="18" x14ac:dyDescent="0.25">
      <c r="B5" s="3"/>
      <c r="C5" s="3"/>
      <c r="D5" s="3"/>
      <c r="E5" s="3"/>
      <c r="F5" s="3"/>
      <c r="G5" s="3"/>
      <c r="H5" s="4"/>
    </row>
    <row r="6" spans="2:9" ht="25.5" x14ac:dyDescent="0.25">
      <c r="B6" s="150" t="s">
        <v>8</v>
      </c>
      <c r="C6" s="151"/>
      <c r="D6" s="151"/>
      <c r="E6" s="152"/>
      <c r="F6" s="39" t="s">
        <v>64</v>
      </c>
      <c r="G6" s="39" t="s">
        <v>144</v>
      </c>
      <c r="H6" s="39" t="s">
        <v>62</v>
      </c>
    </row>
    <row r="7" spans="2:9" s="45" customFormat="1" ht="11.25" x14ac:dyDescent="0.2">
      <c r="B7" s="153">
        <v>1</v>
      </c>
      <c r="C7" s="154"/>
      <c r="D7" s="154"/>
      <c r="E7" s="155"/>
      <c r="F7" s="42">
        <v>2</v>
      </c>
      <c r="G7" s="42">
        <v>3</v>
      </c>
      <c r="H7" s="42" t="s">
        <v>183</v>
      </c>
    </row>
    <row r="8" spans="2:9" ht="18" customHeight="1" x14ac:dyDescent="0.25">
      <c r="B8" s="166">
        <v>16947</v>
      </c>
      <c r="C8" s="167"/>
      <c r="D8" s="168"/>
      <c r="E8" s="54" t="s">
        <v>77</v>
      </c>
      <c r="F8" s="62"/>
      <c r="G8" s="80"/>
      <c r="H8" s="80"/>
    </row>
    <row r="9" spans="2:9" ht="18" customHeight="1" x14ac:dyDescent="0.25">
      <c r="B9" s="159" t="s">
        <v>139</v>
      </c>
      <c r="C9" s="160"/>
      <c r="D9" s="160"/>
      <c r="E9" s="161"/>
      <c r="F9" s="63">
        <f>SUM(F10:F15)</f>
        <v>3480699.5300000003</v>
      </c>
      <c r="G9" s="78">
        <f>SUM(G10:G15)</f>
        <v>3415956.4000000004</v>
      </c>
      <c r="H9" s="78">
        <f t="shared" ref="H9:H71" si="0">G9/F9*100</f>
        <v>98.139939128845171</v>
      </c>
    </row>
    <row r="10" spans="2:9" ht="18" customHeight="1" x14ac:dyDescent="0.25">
      <c r="B10" s="170">
        <v>1</v>
      </c>
      <c r="C10" s="171"/>
      <c r="D10" s="172"/>
      <c r="E10" s="53" t="s">
        <v>140</v>
      </c>
      <c r="F10" s="73">
        <f>219591.78+18625+38994.75+965+2756745+19267+279609+3550-171223</f>
        <v>3166124.5300000003</v>
      </c>
      <c r="G10" s="91">
        <f>G18+G84+G110+G120+G153+G161+G165+G182</f>
        <v>3099438.92</v>
      </c>
      <c r="H10" s="80">
        <f t="shared" si="0"/>
        <v>97.893778044163028</v>
      </c>
    </row>
    <row r="11" spans="2:9" ht="18" customHeight="1" x14ac:dyDescent="0.25">
      <c r="B11" s="170">
        <v>2</v>
      </c>
      <c r="C11" s="171"/>
      <c r="D11" s="172"/>
      <c r="E11" s="53" t="s">
        <v>156</v>
      </c>
      <c r="F11" s="73">
        <v>781</v>
      </c>
      <c r="G11" s="91">
        <v>479.97</v>
      </c>
      <c r="H11" s="80">
        <f t="shared" si="0"/>
        <v>61.455825864276569</v>
      </c>
      <c r="I11" s="68"/>
    </row>
    <row r="12" spans="2:9" ht="18" customHeight="1" x14ac:dyDescent="0.25">
      <c r="B12" s="170">
        <v>3</v>
      </c>
      <c r="C12" s="171"/>
      <c r="D12" s="172"/>
      <c r="E12" s="53" t="s">
        <v>141</v>
      </c>
      <c r="F12" s="73">
        <v>124120</v>
      </c>
      <c r="G12" s="91">
        <v>125794.6</v>
      </c>
      <c r="H12" s="80">
        <f t="shared" si="0"/>
        <v>101.34917821463101</v>
      </c>
    </row>
    <row r="13" spans="2:9" ht="18" customHeight="1" x14ac:dyDescent="0.25">
      <c r="B13" s="170">
        <v>4</v>
      </c>
      <c r="C13" s="171"/>
      <c r="D13" s="172"/>
      <c r="E13" s="47" t="s">
        <v>142</v>
      </c>
      <c r="F13" s="73">
        <f>18321-14221</f>
        <v>4100</v>
      </c>
      <c r="G13" s="91">
        <v>5202.7</v>
      </c>
      <c r="H13" s="80">
        <f t="shared" si="0"/>
        <v>126.89512195121951</v>
      </c>
      <c r="I13" s="68"/>
    </row>
    <row r="14" spans="2:9" ht="18" customHeight="1" x14ac:dyDescent="0.25">
      <c r="B14" s="173">
        <v>7</v>
      </c>
      <c r="C14" s="173"/>
      <c r="D14" s="173"/>
      <c r="E14" s="47" t="s">
        <v>26</v>
      </c>
      <c r="F14" s="73">
        <v>130</v>
      </c>
      <c r="G14" s="91">
        <v>126.93</v>
      </c>
      <c r="H14" s="80">
        <f t="shared" si="0"/>
        <v>97.638461538461542</v>
      </c>
    </row>
    <row r="15" spans="2:9" ht="18" customHeight="1" x14ac:dyDescent="0.25">
      <c r="B15" s="173">
        <v>9</v>
      </c>
      <c r="C15" s="173"/>
      <c r="D15" s="173"/>
      <c r="E15" s="47" t="s">
        <v>143</v>
      </c>
      <c r="F15" s="73">
        <v>185444</v>
      </c>
      <c r="G15" s="91">
        <f>G79+G107+G139+G190</f>
        <v>184913.28</v>
      </c>
      <c r="H15" s="80">
        <f t="shared" si="0"/>
        <v>99.713811177498329</v>
      </c>
    </row>
    <row r="16" spans="2:9" s="56" customFormat="1" ht="30" customHeight="1" x14ac:dyDescent="0.25">
      <c r="B16" s="166" t="s">
        <v>158</v>
      </c>
      <c r="C16" s="167"/>
      <c r="D16" s="168"/>
      <c r="E16" s="55" t="s">
        <v>159</v>
      </c>
      <c r="F16" s="63">
        <f>F17</f>
        <v>219591.78</v>
      </c>
      <c r="G16" s="90">
        <f>G17</f>
        <v>219591.78</v>
      </c>
      <c r="H16" s="78">
        <f t="shared" si="0"/>
        <v>100</v>
      </c>
    </row>
    <row r="17" spans="2:8" s="56" customFormat="1" ht="30" customHeight="1" x14ac:dyDescent="0.25">
      <c r="B17" s="158" t="s">
        <v>147</v>
      </c>
      <c r="C17" s="158"/>
      <c r="D17" s="158"/>
      <c r="E17" s="54" t="s">
        <v>160</v>
      </c>
      <c r="F17" s="63">
        <f>F18</f>
        <v>219591.78</v>
      </c>
      <c r="G17" s="90">
        <f>G18</f>
        <v>219591.78</v>
      </c>
      <c r="H17" s="78">
        <f t="shared" si="0"/>
        <v>100</v>
      </c>
    </row>
    <row r="18" spans="2:8" s="56" customFormat="1" ht="18" customHeight="1" x14ac:dyDescent="0.25">
      <c r="B18" s="166">
        <v>13</v>
      </c>
      <c r="C18" s="167"/>
      <c r="D18" s="168"/>
      <c r="E18" s="54" t="s">
        <v>124</v>
      </c>
      <c r="F18" s="63">
        <f>F19+F30</f>
        <v>219591.78</v>
      </c>
      <c r="G18" s="78">
        <f>G19+G30</f>
        <v>219591.78</v>
      </c>
      <c r="H18" s="78">
        <f t="shared" si="0"/>
        <v>100</v>
      </c>
    </row>
    <row r="19" spans="2:8" ht="18" customHeight="1" x14ac:dyDescent="0.25">
      <c r="B19" s="159">
        <v>32</v>
      </c>
      <c r="C19" s="160"/>
      <c r="D19" s="161"/>
      <c r="E19" s="54" t="s">
        <v>13</v>
      </c>
      <c r="F19" s="63">
        <f>SUM(F20:F29)</f>
        <v>219061.78</v>
      </c>
      <c r="G19" s="78">
        <f>SUM(G20:G29)</f>
        <v>219061.78</v>
      </c>
      <c r="H19" s="78">
        <f t="shared" si="0"/>
        <v>100</v>
      </c>
    </row>
    <row r="20" spans="2:8" ht="35.450000000000003" customHeight="1" x14ac:dyDescent="0.25">
      <c r="B20" s="162">
        <v>3212</v>
      </c>
      <c r="C20" s="162"/>
      <c r="D20" s="162"/>
      <c r="E20" s="47" t="s">
        <v>203</v>
      </c>
      <c r="F20" s="62">
        <v>119988.72</v>
      </c>
      <c r="G20" s="80">
        <v>119988.72</v>
      </c>
      <c r="H20" s="80">
        <f t="shared" si="0"/>
        <v>100</v>
      </c>
    </row>
    <row r="21" spans="2:8" ht="18" customHeight="1" x14ac:dyDescent="0.25">
      <c r="B21" s="162">
        <v>3221</v>
      </c>
      <c r="C21" s="162"/>
      <c r="D21" s="162"/>
      <c r="E21" s="47" t="s">
        <v>89</v>
      </c>
      <c r="F21" s="62">
        <v>5869.57</v>
      </c>
      <c r="G21" s="80">
        <v>5869.57</v>
      </c>
      <c r="H21" s="80">
        <f t="shared" si="0"/>
        <v>100</v>
      </c>
    </row>
    <row r="22" spans="2:8" ht="18" customHeight="1" x14ac:dyDescent="0.25">
      <c r="B22" s="162">
        <v>3222</v>
      </c>
      <c r="C22" s="162"/>
      <c r="D22" s="162"/>
      <c r="E22" s="47" t="s">
        <v>90</v>
      </c>
      <c r="F22" s="62">
        <v>4021.32</v>
      </c>
      <c r="G22" s="80">
        <v>4021.32</v>
      </c>
      <c r="H22" s="80">
        <f t="shared" si="0"/>
        <v>100</v>
      </c>
    </row>
    <row r="23" spans="2:8" ht="18" customHeight="1" x14ac:dyDescent="0.25">
      <c r="B23" s="162">
        <v>3223</v>
      </c>
      <c r="C23" s="162"/>
      <c r="D23" s="162"/>
      <c r="E23" s="47" t="s">
        <v>91</v>
      </c>
      <c r="F23" s="62">
        <f>13633.96+33038.43</f>
        <v>46672.39</v>
      </c>
      <c r="G23" s="80">
        <v>46672.39</v>
      </c>
      <c r="H23" s="80">
        <f t="shared" si="0"/>
        <v>100</v>
      </c>
    </row>
    <row r="24" spans="2:8" ht="30" customHeight="1" x14ac:dyDescent="0.25">
      <c r="B24" s="163">
        <v>3224</v>
      </c>
      <c r="C24" s="164"/>
      <c r="D24" s="165"/>
      <c r="E24" s="47" t="s">
        <v>92</v>
      </c>
      <c r="F24" s="62">
        <v>1093.99</v>
      </c>
      <c r="G24" s="80">
        <v>1093.99</v>
      </c>
      <c r="H24" s="80">
        <f t="shared" si="0"/>
        <v>100</v>
      </c>
    </row>
    <row r="25" spans="2:8" ht="18" customHeight="1" x14ac:dyDescent="0.25">
      <c r="B25" s="163">
        <v>3231</v>
      </c>
      <c r="C25" s="164"/>
      <c r="D25" s="165"/>
      <c r="E25" s="47" t="s">
        <v>95</v>
      </c>
      <c r="F25" s="62">
        <f>1327+660</f>
        <v>1987</v>
      </c>
      <c r="G25" s="80">
        <v>1987</v>
      </c>
      <c r="H25" s="80">
        <f t="shared" si="0"/>
        <v>100</v>
      </c>
    </row>
    <row r="26" spans="2:8" ht="18" customHeight="1" x14ac:dyDescent="0.25">
      <c r="B26" s="163">
        <v>3232</v>
      </c>
      <c r="C26" s="164"/>
      <c r="D26" s="165"/>
      <c r="E26" s="47" t="s">
        <v>96</v>
      </c>
      <c r="F26" s="62">
        <v>3188.66</v>
      </c>
      <c r="G26" s="80">
        <v>3188.66</v>
      </c>
      <c r="H26" s="80">
        <f t="shared" si="0"/>
        <v>100</v>
      </c>
    </row>
    <row r="27" spans="2:8" ht="18" customHeight="1" x14ac:dyDescent="0.25">
      <c r="B27" s="163">
        <v>3234</v>
      </c>
      <c r="C27" s="164"/>
      <c r="D27" s="165"/>
      <c r="E27" s="47" t="s">
        <v>98</v>
      </c>
      <c r="F27" s="62">
        <v>9257.84</v>
      </c>
      <c r="G27" s="80">
        <v>9257.84</v>
      </c>
      <c r="H27" s="80">
        <f t="shared" si="0"/>
        <v>100</v>
      </c>
    </row>
    <row r="28" spans="2:8" ht="18" customHeight="1" x14ac:dyDescent="0.25">
      <c r="B28" s="163">
        <v>3235</v>
      </c>
      <c r="C28" s="164"/>
      <c r="D28" s="165"/>
      <c r="E28" s="47" t="s">
        <v>161</v>
      </c>
      <c r="F28" s="62">
        <v>26452.29</v>
      </c>
      <c r="G28" s="80">
        <v>26452.29</v>
      </c>
      <c r="H28" s="80">
        <f t="shared" si="0"/>
        <v>100</v>
      </c>
    </row>
    <row r="29" spans="2:8" ht="18" customHeight="1" x14ac:dyDescent="0.25">
      <c r="B29" s="163">
        <v>3238</v>
      </c>
      <c r="C29" s="164"/>
      <c r="D29" s="165"/>
      <c r="E29" s="47" t="s">
        <v>100</v>
      </c>
      <c r="F29" s="62">
        <v>530</v>
      </c>
      <c r="G29" s="80">
        <v>530</v>
      </c>
      <c r="H29" s="80">
        <f t="shared" si="0"/>
        <v>100</v>
      </c>
    </row>
    <row r="30" spans="2:8" ht="18" customHeight="1" x14ac:dyDescent="0.25">
      <c r="B30" s="159">
        <v>34</v>
      </c>
      <c r="C30" s="160"/>
      <c r="D30" s="161"/>
      <c r="E30" s="54" t="s">
        <v>108</v>
      </c>
      <c r="F30" s="63">
        <f>F31</f>
        <v>530</v>
      </c>
      <c r="G30" s="78">
        <f>G31</f>
        <v>530</v>
      </c>
      <c r="H30" s="78">
        <f t="shared" si="0"/>
        <v>100</v>
      </c>
    </row>
    <row r="31" spans="2:8" ht="18" customHeight="1" x14ac:dyDescent="0.25">
      <c r="B31" s="163">
        <v>3431</v>
      </c>
      <c r="C31" s="164"/>
      <c r="D31" s="165"/>
      <c r="E31" s="47" t="s">
        <v>110</v>
      </c>
      <c r="F31" s="62">
        <v>530</v>
      </c>
      <c r="G31" s="80">
        <v>530</v>
      </c>
      <c r="H31" s="80">
        <f t="shared" si="0"/>
        <v>100</v>
      </c>
    </row>
    <row r="32" spans="2:8" s="56" customFormat="1" ht="40.15" customHeight="1" x14ac:dyDescent="0.25">
      <c r="B32" s="166" t="s">
        <v>149</v>
      </c>
      <c r="C32" s="167"/>
      <c r="D32" s="168"/>
      <c r="E32" s="55" t="s">
        <v>150</v>
      </c>
      <c r="F32" s="63">
        <f>F33+F152+F160+F164+F182</f>
        <v>3261107.75</v>
      </c>
      <c r="G32" s="108">
        <f>G33+G152+G160+G164+G182</f>
        <v>3195784.85</v>
      </c>
      <c r="H32" s="78">
        <f t="shared" si="0"/>
        <v>97.996910712318538</v>
      </c>
    </row>
    <row r="33" spans="2:8" s="56" customFormat="1" ht="30" customHeight="1" x14ac:dyDescent="0.25">
      <c r="B33" s="158" t="s">
        <v>171</v>
      </c>
      <c r="C33" s="158"/>
      <c r="D33" s="158"/>
      <c r="E33" s="54" t="s">
        <v>172</v>
      </c>
      <c r="F33" s="63">
        <f>F34+F38+F71+F84+F110+F120+F139+F148+F79+F107</f>
        <v>3198973</v>
      </c>
      <c r="G33" s="93">
        <f>G34+G38+G71+G84+G110+G120+G139+G148+G79+G107</f>
        <v>3144150.37</v>
      </c>
      <c r="H33" s="78">
        <f t="shared" si="0"/>
        <v>98.286242803549769</v>
      </c>
    </row>
    <row r="34" spans="2:8" s="56" customFormat="1" ht="18" customHeight="1" x14ac:dyDescent="0.25">
      <c r="B34" s="166">
        <v>21</v>
      </c>
      <c r="C34" s="167"/>
      <c r="D34" s="168"/>
      <c r="E34" s="54" t="s">
        <v>156</v>
      </c>
      <c r="F34" s="63">
        <f>F35</f>
        <v>781</v>
      </c>
      <c r="G34" s="93">
        <f>G35</f>
        <v>479.97</v>
      </c>
      <c r="H34" s="78">
        <f t="shared" si="0"/>
        <v>61.455825864276569</v>
      </c>
    </row>
    <row r="35" spans="2:8" ht="18" customHeight="1" x14ac:dyDescent="0.25">
      <c r="B35" s="159">
        <v>32</v>
      </c>
      <c r="C35" s="160"/>
      <c r="D35" s="161"/>
      <c r="E35" s="54" t="s">
        <v>13</v>
      </c>
      <c r="F35" s="63">
        <f>SUM(F36:F37)</f>
        <v>781</v>
      </c>
      <c r="G35" s="93">
        <f>SUM(G36:G37)</f>
        <v>479.97</v>
      </c>
      <c r="H35" s="78">
        <f t="shared" si="0"/>
        <v>61.455825864276569</v>
      </c>
    </row>
    <row r="36" spans="2:8" ht="18" customHeight="1" x14ac:dyDescent="0.25">
      <c r="B36" s="162">
        <v>3222</v>
      </c>
      <c r="C36" s="162"/>
      <c r="D36" s="162"/>
      <c r="E36" s="47" t="s">
        <v>90</v>
      </c>
      <c r="F36" s="62">
        <v>700</v>
      </c>
      <c r="G36" s="91">
        <v>399.05</v>
      </c>
      <c r="H36" s="80">
        <f t="shared" si="0"/>
        <v>57.007142857142853</v>
      </c>
    </row>
    <row r="37" spans="2:8" ht="18" customHeight="1" x14ac:dyDescent="0.25">
      <c r="B37" s="162">
        <v>3225</v>
      </c>
      <c r="C37" s="162"/>
      <c r="D37" s="162"/>
      <c r="E37" s="47" t="s">
        <v>93</v>
      </c>
      <c r="F37" s="62">
        <v>81</v>
      </c>
      <c r="G37" s="91">
        <v>80.92</v>
      </c>
      <c r="H37" s="80">
        <f t="shared" si="0"/>
        <v>99.901234567901227</v>
      </c>
    </row>
    <row r="38" spans="2:8" s="56" customFormat="1" ht="18" customHeight="1" x14ac:dyDescent="0.25">
      <c r="B38" s="166">
        <v>31</v>
      </c>
      <c r="C38" s="167"/>
      <c r="D38" s="168"/>
      <c r="E38" s="54" t="s">
        <v>141</v>
      </c>
      <c r="F38" s="63">
        <f>F39+F43+F63+F65+F67+F69</f>
        <v>124120</v>
      </c>
      <c r="G38" s="93">
        <f>G39+G43+G63+G65+G67+G69</f>
        <v>125794.59999999998</v>
      </c>
      <c r="H38" s="78">
        <f t="shared" si="0"/>
        <v>101.34917821463098</v>
      </c>
    </row>
    <row r="39" spans="2:8" ht="18" customHeight="1" x14ac:dyDescent="0.25">
      <c r="B39" s="159">
        <v>31</v>
      </c>
      <c r="C39" s="160"/>
      <c r="D39" s="161"/>
      <c r="E39" s="54" t="s">
        <v>5</v>
      </c>
      <c r="F39" s="63">
        <f>SUM(F40:F42)</f>
        <v>35435</v>
      </c>
      <c r="G39" s="93">
        <f>SUM(G40:G42)</f>
        <v>35424.6</v>
      </c>
      <c r="H39" s="78">
        <f t="shared" si="0"/>
        <v>99.970650486806818</v>
      </c>
    </row>
    <row r="40" spans="2:8" ht="18" customHeight="1" x14ac:dyDescent="0.25">
      <c r="B40" s="162">
        <v>3111</v>
      </c>
      <c r="C40" s="162"/>
      <c r="D40" s="162"/>
      <c r="E40" s="47" t="s">
        <v>42</v>
      </c>
      <c r="F40" s="62">
        <v>29960</v>
      </c>
      <c r="G40" s="91">
        <v>29956.75</v>
      </c>
      <c r="H40" s="80">
        <f t="shared" si="0"/>
        <v>99.989152202937248</v>
      </c>
    </row>
    <row r="41" spans="2:8" ht="18" customHeight="1" x14ac:dyDescent="0.25">
      <c r="B41" s="162">
        <v>3121</v>
      </c>
      <c r="C41" s="162"/>
      <c r="D41" s="162"/>
      <c r="E41" s="47" t="s">
        <v>162</v>
      </c>
      <c r="F41" s="62">
        <v>525</v>
      </c>
      <c r="G41" s="91">
        <v>525</v>
      </c>
      <c r="H41" s="80">
        <f t="shared" si="0"/>
        <v>100</v>
      </c>
    </row>
    <row r="42" spans="2:8" ht="18" customHeight="1" x14ac:dyDescent="0.25">
      <c r="B42" s="162">
        <v>3132</v>
      </c>
      <c r="C42" s="162"/>
      <c r="D42" s="162"/>
      <c r="E42" s="47" t="s">
        <v>163</v>
      </c>
      <c r="F42" s="62">
        <v>4950</v>
      </c>
      <c r="G42" s="91">
        <v>4942.8500000000004</v>
      </c>
      <c r="H42" s="80">
        <f t="shared" si="0"/>
        <v>99.855555555555569</v>
      </c>
    </row>
    <row r="43" spans="2:8" ht="18" customHeight="1" x14ac:dyDescent="0.25">
      <c r="B43" s="159">
        <v>32</v>
      </c>
      <c r="C43" s="160"/>
      <c r="D43" s="161"/>
      <c r="E43" s="54" t="s">
        <v>13</v>
      </c>
      <c r="F43" s="63">
        <f>SUM(F44:F62)</f>
        <v>87936</v>
      </c>
      <c r="G43" s="93">
        <f>SUM(G44:G62)</f>
        <v>89626.48</v>
      </c>
      <c r="H43" s="78">
        <f t="shared" si="0"/>
        <v>101.92239810771471</v>
      </c>
    </row>
    <row r="44" spans="2:8" ht="18" customHeight="1" x14ac:dyDescent="0.25">
      <c r="B44" s="162">
        <v>3211</v>
      </c>
      <c r="C44" s="162"/>
      <c r="D44" s="162"/>
      <c r="E44" s="47" t="s">
        <v>44</v>
      </c>
      <c r="F44" s="62">
        <v>5300</v>
      </c>
      <c r="G44" s="91">
        <v>4728.6899999999996</v>
      </c>
      <c r="H44" s="80">
        <f t="shared" si="0"/>
        <v>89.220566037735836</v>
      </c>
    </row>
    <row r="45" spans="2:8" ht="18" customHeight="1" x14ac:dyDescent="0.25">
      <c r="B45" s="162">
        <v>3213</v>
      </c>
      <c r="C45" s="162"/>
      <c r="D45" s="162"/>
      <c r="E45" s="47" t="s">
        <v>88</v>
      </c>
      <c r="F45" s="62">
        <v>1100</v>
      </c>
      <c r="G45" s="91">
        <v>1052.73</v>
      </c>
      <c r="H45" s="80">
        <f t="shared" si="0"/>
        <v>95.702727272727273</v>
      </c>
    </row>
    <row r="46" spans="2:8" ht="18" customHeight="1" x14ac:dyDescent="0.25">
      <c r="B46" s="162">
        <v>3221</v>
      </c>
      <c r="C46" s="162"/>
      <c r="D46" s="162"/>
      <c r="E46" s="47" t="s">
        <v>89</v>
      </c>
      <c r="F46" s="62">
        <f>1000+2600</f>
        <v>3600</v>
      </c>
      <c r="G46" s="91">
        <f>325.03+2537.7</f>
        <v>2862.7299999999996</v>
      </c>
      <c r="H46" s="80">
        <f t="shared" si="0"/>
        <v>79.520277777777764</v>
      </c>
    </row>
    <row r="47" spans="2:8" ht="18" customHeight="1" x14ac:dyDescent="0.25">
      <c r="B47" s="162">
        <v>3222</v>
      </c>
      <c r="C47" s="162"/>
      <c r="D47" s="162"/>
      <c r="E47" s="47" t="s">
        <v>90</v>
      </c>
      <c r="F47" s="62">
        <v>3050</v>
      </c>
      <c r="G47" s="91">
        <v>2858.39</v>
      </c>
      <c r="H47" s="80">
        <f t="shared" si="0"/>
        <v>93.71770491803278</v>
      </c>
    </row>
    <row r="48" spans="2:8" ht="18" customHeight="1" x14ac:dyDescent="0.25">
      <c r="B48" s="162">
        <v>3223</v>
      </c>
      <c r="C48" s="162"/>
      <c r="D48" s="162"/>
      <c r="E48" s="47" t="s">
        <v>91</v>
      </c>
      <c r="F48" s="62">
        <f>830+3200</f>
        <v>4030</v>
      </c>
      <c r="G48" s="91">
        <f>822.38+2936.44</f>
        <v>3758.82</v>
      </c>
      <c r="H48" s="80">
        <f t="shared" si="0"/>
        <v>93.270967741935479</v>
      </c>
    </row>
    <row r="49" spans="2:8" ht="30" customHeight="1" x14ac:dyDescent="0.25">
      <c r="B49" s="163">
        <v>3224</v>
      </c>
      <c r="C49" s="164"/>
      <c r="D49" s="165"/>
      <c r="E49" s="47" t="s">
        <v>92</v>
      </c>
      <c r="F49" s="62">
        <v>1720</v>
      </c>
      <c r="G49" s="91">
        <v>1753.7</v>
      </c>
      <c r="H49" s="80">
        <f t="shared" si="0"/>
        <v>101.95930232558139</v>
      </c>
    </row>
    <row r="50" spans="2:8" ht="18" customHeight="1" x14ac:dyDescent="0.25">
      <c r="B50" s="163">
        <v>3225</v>
      </c>
      <c r="C50" s="164"/>
      <c r="D50" s="165"/>
      <c r="E50" s="47" t="s">
        <v>93</v>
      </c>
      <c r="F50" s="62">
        <v>530</v>
      </c>
      <c r="G50" s="91">
        <v>446.27</v>
      </c>
      <c r="H50" s="80">
        <f t="shared" si="0"/>
        <v>84.201886792452825</v>
      </c>
    </row>
    <row r="51" spans="2:8" ht="18" customHeight="1" x14ac:dyDescent="0.25">
      <c r="B51" s="163">
        <v>3227</v>
      </c>
      <c r="C51" s="164"/>
      <c r="D51" s="165"/>
      <c r="E51" s="47" t="s">
        <v>94</v>
      </c>
      <c r="F51" s="62">
        <v>180</v>
      </c>
      <c r="G51" s="91">
        <v>178.62</v>
      </c>
      <c r="H51" s="80">
        <f t="shared" si="0"/>
        <v>99.233333333333334</v>
      </c>
    </row>
    <row r="52" spans="2:8" ht="18" customHeight="1" x14ac:dyDescent="0.25">
      <c r="B52" s="163">
        <v>3231</v>
      </c>
      <c r="C52" s="164"/>
      <c r="D52" s="165"/>
      <c r="E52" s="47" t="s">
        <v>95</v>
      </c>
      <c r="F52" s="62">
        <f>160+100</f>
        <v>260</v>
      </c>
      <c r="G52" s="91">
        <f>65.59+96.18</f>
        <v>161.77000000000001</v>
      </c>
      <c r="H52" s="80">
        <f t="shared" si="0"/>
        <v>62.219230769230769</v>
      </c>
    </row>
    <row r="53" spans="2:8" ht="18" customHeight="1" x14ac:dyDescent="0.25">
      <c r="B53" s="163">
        <v>3232</v>
      </c>
      <c r="C53" s="164"/>
      <c r="D53" s="165"/>
      <c r="E53" s="47" t="s">
        <v>96</v>
      </c>
      <c r="F53" s="62">
        <v>3500</v>
      </c>
      <c r="G53" s="91">
        <v>3253.57</v>
      </c>
      <c r="H53" s="80">
        <f t="shared" si="0"/>
        <v>92.959142857142865</v>
      </c>
    </row>
    <row r="54" spans="2:8" ht="18" customHeight="1" x14ac:dyDescent="0.25">
      <c r="B54" s="163">
        <v>3233</v>
      </c>
      <c r="C54" s="164"/>
      <c r="D54" s="165"/>
      <c r="E54" s="47" t="s">
        <v>97</v>
      </c>
      <c r="F54" s="62">
        <v>60</v>
      </c>
      <c r="G54" s="91">
        <v>58.87</v>
      </c>
      <c r="H54" s="80">
        <f t="shared" si="0"/>
        <v>98.11666666666666</v>
      </c>
    </row>
    <row r="55" spans="2:8" ht="18" customHeight="1" x14ac:dyDescent="0.25">
      <c r="B55" s="163">
        <v>3237</v>
      </c>
      <c r="C55" s="164"/>
      <c r="D55" s="165"/>
      <c r="E55" s="47" t="s">
        <v>164</v>
      </c>
      <c r="F55" s="62">
        <f>40348+13200</f>
        <v>53548</v>
      </c>
      <c r="G55" s="91">
        <f>40347.71+13199</f>
        <v>53546.71</v>
      </c>
      <c r="H55" s="80">
        <f t="shared" si="0"/>
        <v>99.997590946440567</v>
      </c>
    </row>
    <row r="56" spans="2:8" ht="18" customHeight="1" x14ac:dyDescent="0.25">
      <c r="B56" s="163">
        <v>3239</v>
      </c>
      <c r="C56" s="164"/>
      <c r="D56" s="165"/>
      <c r="E56" s="47" t="s">
        <v>101</v>
      </c>
      <c r="F56" s="62">
        <v>2660</v>
      </c>
      <c r="G56" s="91">
        <v>2657.93</v>
      </c>
      <c r="H56" s="80">
        <f t="shared" si="0"/>
        <v>99.922180451127815</v>
      </c>
    </row>
    <row r="57" spans="2:8" ht="34.9" customHeight="1" x14ac:dyDescent="0.25">
      <c r="B57" s="163">
        <v>3241</v>
      </c>
      <c r="C57" s="164"/>
      <c r="D57" s="165"/>
      <c r="E57" s="47" t="s">
        <v>205</v>
      </c>
      <c r="F57" s="62">
        <v>600</v>
      </c>
      <c r="G57" s="91">
        <v>598.97</v>
      </c>
      <c r="H57" s="80">
        <f t="shared" si="0"/>
        <v>99.828333333333347</v>
      </c>
    </row>
    <row r="58" spans="2:8" ht="18" customHeight="1" x14ac:dyDescent="0.25">
      <c r="B58" s="163">
        <v>3292</v>
      </c>
      <c r="C58" s="164"/>
      <c r="D58" s="165"/>
      <c r="E58" s="47" t="s">
        <v>102</v>
      </c>
      <c r="F58" s="62">
        <v>4700</v>
      </c>
      <c r="G58" s="91">
        <v>4691.96</v>
      </c>
      <c r="H58" s="80">
        <f t="shared" si="0"/>
        <v>99.828936170212771</v>
      </c>
    </row>
    <row r="59" spans="2:8" ht="18" customHeight="1" x14ac:dyDescent="0.25">
      <c r="B59" s="163">
        <v>3293</v>
      </c>
      <c r="C59" s="164"/>
      <c r="D59" s="165"/>
      <c r="E59" s="47" t="s">
        <v>103</v>
      </c>
      <c r="F59" s="62">
        <v>1500</v>
      </c>
      <c r="G59" s="91">
        <v>1339.28</v>
      </c>
      <c r="H59" s="80">
        <f t="shared" si="0"/>
        <v>89.285333333333327</v>
      </c>
    </row>
    <row r="60" spans="2:8" ht="18" customHeight="1" x14ac:dyDescent="0.25">
      <c r="B60" s="163">
        <v>3294</v>
      </c>
      <c r="C60" s="164"/>
      <c r="D60" s="165"/>
      <c r="E60" s="47" t="s">
        <v>206</v>
      </c>
      <c r="F60" s="62">
        <v>662</v>
      </c>
      <c r="G60" s="91">
        <v>662.7</v>
      </c>
      <c r="H60" s="80">
        <f t="shared" si="0"/>
        <v>100.1057401812689</v>
      </c>
    </row>
    <row r="61" spans="2:8" ht="18" customHeight="1" x14ac:dyDescent="0.25">
      <c r="B61" s="163">
        <v>3295</v>
      </c>
      <c r="C61" s="164"/>
      <c r="D61" s="165"/>
      <c r="E61" s="47" t="s">
        <v>104</v>
      </c>
      <c r="F61" s="62">
        <v>66</v>
      </c>
      <c r="G61" s="91">
        <v>65.56</v>
      </c>
      <c r="H61" s="80">
        <f t="shared" si="0"/>
        <v>99.333333333333343</v>
      </c>
    </row>
    <row r="62" spans="2:8" ht="18" customHeight="1" x14ac:dyDescent="0.25">
      <c r="B62" s="163">
        <v>3299</v>
      </c>
      <c r="C62" s="164"/>
      <c r="D62" s="165"/>
      <c r="E62" s="47" t="s">
        <v>105</v>
      </c>
      <c r="F62" s="62">
        <v>870</v>
      </c>
      <c r="G62" s="91">
        <v>4949.21</v>
      </c>
      <c r="H62" s="80">
        <f t="shared" si="0"/>
        <v>568.87471264367809</v>
      </c>
    </row>
    <row r="63" spans="2:8" ht="18" customHeight="1" x14ac:dyDescent="0.25">
      <c r="B63" s="159">
        <v>34</v>
      </c>
      <c r="C63" s="160"/>
      <c r="D63" s="161"/>
      <c r="E63" s="54" t="s">
        <v>108</v>
      </c>
      <c r="F63" s="63">
        <f>F64</f>
        <v>160</v>
      </c>
      <c r="G63" s="108">
        <f>G64</f>
        <v>158.13999999999999</v>
      </c>
      <c r="H63" s="78">
        <f t="shared" si="0"/>
        <v>98.837499999999991</v>
      </c>
    </row>
    <row r="64" spans="2:8" ht="18" customHeight="1" x14ac:dyDescent="0.25">
      <c r="B64" s="163">
        <v>3431</v>
      </c>
      <c r="C64" s="164"/>
      <c r="D64" s="165"/>
      <c r="E64" s="47" t="s">
        <v>110</v>
      </c>
      <c r="F64" s="62">
        <v>160</v>
      </c>
      <c r="G64" s="91">
        <v>158.13999999999999</v>
      </c>
      <c r="H64" s="80">
        <f t="shared" si="0"/>
        <v>98.837499999999991</v>
      </c>
    </row>
    <row r="65" spans="2:8" ht="18" customHeight="1" x14ac:dyDescent="0.25">
      <c r="B65" s="159">
        <v>38</v>
      </c>
      <c r="C65" s="160"/>
      <c r="D65" s="161"/>
      <c r="E65" s="54" t="s">
        <v>181</v>
      </c>
      <c r="F65" s="63">
        <f>F66</f>
        <v>9</v>
      </c>
      <c r="G65" s="108">
        <f>G66</f>
        <v>8.4499999999999993</v>
      </c>
      <c r="H65" s="78">
        <f t="shared" si="0"/>
        <v>93.888888888888872</v>
      </c>
    </row>
    <row r="66" spans="2:8" ht="18" customHeight="1" x14ac:dyDescent="0.25">
      <c r="B66" s="163">
        <v>3812</v>
      </c>
      <c r="C66" s="164"/>
      <c r="D66" s="165"/>
      <c r="E66" s="47" t="s">
        <v>224</v>
      </c>
      <c r="F66" s="62">
        <v>9</v>
      </c>
      <c r="G66" s="91">
        <v>8.4499999999999993</v>
      </c>
      <c r="H66" s="80">
        <f t="shared" si="0"/>
        <v>93.888888888888872</v>
      </c>
    </row>
    <row r="67" spans="2:8" ht="30" customHeight="1" x14ac:dyDescent="0.25">
      <c r="B67" s="159">
        <v>41</v>
      </c>
      <c r="C67" s="160"/>
      <c r="D67" s="161"/>
      <c r="E67" s="54" t="s">
        <v>7</v>
      </c>
      <c r="F67" s="63">
        <f>F68</f>
        <v>110</v>
      </c>
      <c r="G67" s="93">
        <f>SUM(G68)</f>
        <v>110.06</v>
      </c>
      <c r="H67" s="78">
        <f t="shared" si="0"/>
        <v>100.05454545454546</v>
      </c>
    </row>
    <row r="68" spans="2:8" ht="18" customHeight="1" x14ac:dyDescent="0.25">
      <c r="B68" s="163">
        <v>4123</v>
      </c>
      <c r="C68" s="164"/>
      <c r="D68" s="165"/>
      <c r="E68" s="47" t="s">
        <v>165</v>
      </c>
      <c r="F68" s="62">
        <v>110</v>
      </c>
      <c r="G68" s="91">
        <v>110.06</v>
      </c>
      <c r="H68" s="80">
        <f t="shared" si="0"/>
        <v>100.05454545454546</v>
      </c>
    </row>
    <row r="69" spans="2:8" ht="30" customHeight="1" x14ac:dyDescent="0.25">
      <c r="B69" s="159">
        <v>42</v>
      </c>
      <c r="C69" s="160"/>
      <c r="D69" s="161"/>
      <c r="E69" s="54" t="s">
        <v>111</v>
      </c>
      <c r="F69" s="63">
        <f>F70</f>
        <v>470</v>
      </c>
      <c r="G69" s="93">
        <f>G70</f>
        <v>466.87</v>
      </c>
      <c r="H69" s="78">
        <f t="shared" si="0"/>
        <v>99.334042553191495</v>
      </c>
    </row>
    <row r="70" spans="2:8" ht="18" customHeight="1" x14ac:dyDescent="0.25">
      <c r="B70" s="163">
        <v>4262</v>
      </c>
      <c r="C70" s="164"/>
      <c r="D70" s="165"/>
      <c r="E70" s="47" t="s">
        <v>166</v>
      </c>
      <c r="F70" s="62">
        <v>470</v>
      </c>
      <c r="G70" s="91">
        <v>466.87</v>
      </c>
      <c r="H70" s="80">
        <f t="shared" si="0"/>
        <v>99.334042553191495</v>
      </c>
    </row>
    <row r="71" spans="2:8" s="56" customFormat="1" ht="18" customHeight="1" x14ac:dyDescent="0.25">
      <c r="B71" s="166">
        <v>43</v>
      </c>
      <c r="C71" s="167"/>
      <c r="D71" s="168"/>
      <c r="E71" s="54" t="s">
        <v>153</v>
      </c>
      <c r="F71" s="63">
        <f>F72+F76</f>
        <v>4100</v>
      </c>
      <c r="G71" s="108">
        <f>G72+G76</f>
        <v>5202.7</v>
      </c>
      <c r="H71" s="78">
        <f t="shared" si="0"/>
        <v>126.89512195121951</v>
      </c>
    </row>
    <row r="72" spans="2:8" ht="18" customHeight="1" x14ac:dyDescent="0.25">
      <c r="B72" s="159">
        <v>31</v>
      </c>
      <c r="C72" s="160"/>
      <c r="D72" s="161"/>
      <c r="E72" s="54" t="s">
        <v>5</v>
      </c>
      <c r="F72" s="63">
        <f>SUM(F73:F75)</f>
        <v>0</v>
      </c>
      <c r="G72" s="93">
        <f>SUM(G73:G75)</f>
        <v>1102.7</v>
      </c>
      <c r="H72" s="78" t="s">
        <v>117</v>
      </c>
    </row>
    <row r="73" spans="2:8" ht="18" customHeight="1" x14ac:dyDescent="0.25">
      <c r="B73" s="162">
        <v>3111</v>
      </c>
      <c r="C73" s="162"/>
      <c r="D73" s="162"/>
      <c r="E73" s="47" t="s">
        <v>42</v>
      </c>
      <c r="F73" s="62">
        <v>0</v>
      </c>
      <c r="G73" s="91">
        <v>916.7</v>
      </c>
      <c r="H73" s="78" t="s">
        <v>117</v>
      </c>
    </row>
    <row r="74" spans="2:8" ht="18" customHeight="1" x14ac:dyDescent="0.25">
      <c r="B74" s="162">
        <v>3132</v>
      </c>
      <c r="C74" s="162"/>
      <c r="D74" s="162"/>
      <c r="E74" s="47" t="s">
        <v>163</v>
      </c>
      <c r="F74" s="62">
        <v>0</v>
      </c>
      <c r="G74" s="92"/>
      <c r="H74" s="78" t="s">
        <v>117</v>
      </c>
    </row>
    <row r="75" spans="2:8" ht="33.6" customHeight="1" x14ac:dyDescent="0.25">
      <c r="B75" s="162">
        <v>3212</v>
      </c>
      <c r="C75" s="162"/>
      <c r="D75" s="162"/>
      <c r="E75" s="47" t="s">
        <v>203</v>
      </c>
      <c r="F75" s="62">
        <v>0</v>
      </c>
      <c r="G75" s="91">
        <v>186</v>
      </c>
      <c r="H75" s="78" t="s">
        <v>117</v>
      </c>
    </row>
    <row r="76" spans="2:8" ht="18" customHeight="1" x14ac:dyDescent="0.25">
      <c r="B76" s="159">
        <v>32</v>
      </c>
      <c r="C76" s="160"/>
      <c r="D76" s="161"/>
      <c r="E76" s="54" t="s">
        <v>13</v>
      </c>
      <c r="F76" s="63">
        <f>SUM(F77:F78)</f>
        <v>4100</v>
      </c>
      <c r="G76" s="108">
        <f>SUM(G77:G78)</f>
        <v>4100</v>
      </c>
      <c r="H76" s="78">
        <f t="shared" ref="H76:H136" si="1">G76/F76*100</f>
        <v>100</v>
      </c>
    </row>
    <row r="77" spans="2:8" ht="18" customHeight="1" x14ac:dyDescent="0.25">
      <c r="B77" s="162">
        <v>3221</v>
      </c>
      <c r="C77" s="162"/>
      <c r="D77" s="162"/>
      <c r="E77" s="47" t="s">
        <v>89</v>
      </c>
      <c r="F77" s="62">
        <v>660</v>
      </c>
      <c r="G77" s="91">
        <v>660</v>
      </c>
      <c r="H77" s="80">
        <f t="shared" si="1"/>
        <v>100</v>
      </c>
    </row>
    <row r="78" spans="2:8" ht="18" customHeight="1" x14ac:dyDescent="0.25">
      <c r="B78" s="162">
        <v>3222</v>
      </c>
      <c r="C78" s="162"/>
      <c r="D78" s="162"/>
      <c r="E78" s="47" t="s">
        <v>90</v>
      </c>
      <c r="F78" s="62">
        <v>3440</v>
      </c>
      <c r="G78" s="91">
        <v>3440</v>
      </c>
      <c r="H78" s="78">
        <f t="shared" si="1"/>
        <v>100</v>
      </c>
    </row>
    <row r="79" spans="2:8" s="56" customFormat="1" ht="18" customHeight="1" x14ac:dyDescent="0.25">
      <c r="B79" s="166">
        <v>94</v>
      </c>
      <c r="C79" s="167"/>
      <c r="D79" s="168"/>
      <c r="E79" s="74" t="s">
        <v>234</v>
      </c>
      <c r="F79" s="63">
        <f>F80</f>
        <v>14221</v>
      </c>
      <c r="G79" s="108">
        <f>G80</f>
        <v>13110.15</v>
      </c>
      <c r="H79" s="78">
        <f t="shared" si="1"/>
        <v>92.188664650868432</v>
      </c>
    </row>
    <row r="80" spans="2:8" ht="18" customHeight="1" x14ac:dyDescent="0.25">
      <c r="B80" s="159">
        <v>31</v>
      </c>
      <c r="C80" s="160"/>
      <c r="D80" s="161"/>
      <c r="E80" s="74" t="s">
        <v>5</v>
      </c>
      <c r="F80" s="63">
        <f>SUM(F81:F83)</f>
        <v>14221</v>
      </c>
      <c r="G80" s="93">
        <f>SUM(G81:G83)</f>
        <v>13110.15</v>
      </c>
      <c r="H80" s="78">
        <f t="shared" si="1"/>
        <v>92.188664650868432</v>
      </c>
    </row>
    <row r="81" spans="2:8" ht="18" customHeight="1" x14ac:dyDescent="0.25">
      <c r="B81" s="162">
        <v>3111</v>
      </c>
      <c r="C81" s="162"/>
      <c r="D81" s="162"/>
      <c r="E81" s="47" t="s">
        <v>42</v>
      </c>
      <c r="F81" s="62">
        <v>11560</v>
      </c>
      <c r="G81" s="91">
        <v>10635.41</v>
      </c>
      <c r="H81" s="80">
        <f t="shared" si="1"/>
        <v>92.001816608996535</v>
      </c>
    </row>
    <row r="82" spans="2:8" ht="18" customHeight="1" x14ac:dyDescent="0.25">
      <c r="B82" s="162">
        <v>3132</v>
      </c>
      <c r="C82" s="162"/>
      <c r="D82" s="162"/>
      <c r="E82" s="47" t="s">
        <v>163</v>
      </c>
      <c r="F82" s="62">
        <v>1755</v>
      </c>
      <c r="G82" s="91">
        <v>1754.83</v>
      </c>
      <c r="H82" s="80">
        <f t="shared" si="1"/>
        <v>99.990313390313389</v>
      </c>
    </row>
    <row r="83" spans="2:8" ht="33.6" customHeight="1" x14ac:dyDescent="0.25">
      <c r="B83" s="162">
        <v>3212</v>
      </c>
      <c r="C83" s="162"/>
      <c r="D83" s="162"/>
      <c r="E83" s="47" t="s">
        <v>203</v>
      </c>
      <c r="F83" s="62">
        <v>906</v>
      </c>
      <c r="G83" s="91">
        <v>719.91</v>
      </c>
      <c r="H83" s="80">
        <f t="shared" si="1"/>
        <v>79.460264900662253</v>
      </c>
    </row>
    <row r="84" spans="2:8" s="56" customFormat="1" ht="18" customHeight="1" x14ac:dyDescent="0.25">
      <c r="B84" s="166">
        <v>52</v>
      </c>
      <c r="C84" s="167"/>
      <c r="D84" s="168"/>
      <c r="E84" s="54" t="s">
        <v>157</v>
      </c>
      <c r="F84" s="63">
        <f>F85+F90+F100+F102+F104</f>
        <v>2707991</v>
      </c>
      <c r="G84" s="93">
        <f>G85+G90+G100+G102+G104</f>
        <v>2704454.2</v>
      </c>
      <c r="H84" s="78">
        <f t="shared" si="1"/>
        <v>99.869393952934118</v>
      </c>
    </row>
    <row r="85" spans="2:8" ht="18" customHeight="1" x14ac:dyDescent="0.25">
      <c r="B85" s="159">
        <v>31</v>
      </c>
      <c r="C85" s="160"/>
      <c r="D85" s="161"/>
      <c r="E85" s="54" t="s">
        <v>5</v>
      </c>
      <c r="F85" s="63">
        <f>SUM(F86:F89)</f>
        <v>2679870</v>
      </c>
      <c r="G85" s="93">
        <f>SUM(G86:G89)</f>
        <v>2676650.0300000003</v>
      </c>
      <c r="H85" s="78">
        <f t="shared" si="1"/>
        <v>99.879846037307786</v>
      </c>
    </row>
    <row r="86" spans="2:8" ht="18" customHeight="1" x14ac:dyDescent="0.25">
      <c r="B86" s="162">
        <v>3111</v>
      </c>
      <c r="C86" s="162"/>
      <c r="D86" s="162"/>
      <c r="E86" s="47" t="s">
        <v>42</v>
      </c>
      <c r="F86" s="62">
        <v>2200000</v>
      </c>
      <c r="G86" s="91">
        <v>2199124.6800000002</v>
      </c>
      <c r="H86" s="80">
        <f t="shared" si="1"/>
        <v>99.960212727272733</v>
      </c>
    </row>
    <row r="87" spans="2:8" ht="18" customHeight="1" x14ac:dyDescent="0.25">
      <c r="B87" s="162">
        <v>3113</v>
      </c>
      <c r="C87" s="162"/>
      <c r="D87" s="162"/>
      <c r="E87" s="47" t="s">
        <v>199</v>
      </c>
      <c r="F87" s="62">
        <v>1870</v>
      </c>
      <c r="G87" s="91">
        <v>1866.89</v>
      </c>
      <c r="H87" s="80">
        <f t="shared" si="1"/>
        <v>99.833689839572187</v>
      </c>
    </row>
    <row r="88" spans="2:8" ht="18" customHeight="1" x14ac:dyDescent="0.25">
      <c r="B88" s="162">
        <v>3121</v>
      </c>
      <c r="C88" s="162"/>
      <c r="D88" s="162"/>
      <c r="E88" s="47" t="s">
        <v>162</v>
      </c>
      <c r="F88" s="62">
        <v>113000</v>
      </c>
      <c r="G88" s="91">
        <v>112097.39</v>
      </c>
      <c r="H88" s="80">
        <f t="shared" si="1"/>
        <v>99.201230088495578</v>
      </c>
    </row>
    <row r="89" spans="2:8" ht="18" customHeight="1" x14ac:dyDescent="0.25">
      <c r="B89" s="162">
        <v>3132</v>
      </c>
      <c r="C89" s="162"/>
      <c r="D89" s="162"/>
      <c r="E89" s="47" t="s">
        <v>163</v>
      </c>
      <c r="F89" s="62">
        <v>365000</v>
      </c>
      <c r="G89" s="91">
        <v>363561.07</v>
      </c>
      <c r="H89" s="80">
        <f t="shared" si="1"/>
        <v>99.605772602739734</v>
      </c>
    </row>
    <row r="90" spans="2:8" ht="18" customHeight="1" x14ac:dyDescent="0.25">
      <c r="B90" s="159">
        <v>32</v>
      </c>
      <c r="C90" s="160"/>
      <c r="D90" s="161"/>
      <c r="E90" s="54" t="s">
        <v>13</v>
      </c>
      <c r="F90" s="63">
        <f>SUM(F91:F99)</f>
        <v>25260</v>
      </c>
      <c r="G90" s="93">
        <f>SUM(G91:G99)</f>
        <v>24947.280000000002</v>
      </c>
      <c r="H90" s="78">
        <f t="shared" si="1"/>
        <v>98.761995249406183</v>
      </c>
    </row>
    <row r="91" spans="2:8" ht="18" customHeight="1" x14ac:dyDescent="0.25">
      <c r="B91" s="162">
        <v>3211</v>
      </c>
      <c r="C91" s="162"/>
      <c r="D91" s="162"/>
      <c r="E91" s="47" t="s">
        <v>44</v>
      </c>
      <c r="F91" s="62">
        <v>870</v>
      </c>
      <c r="G91" s="91">
        <v>545.21</v>
      </c>
      <c r="H91" s="80">
        <f t="shared" si="1"/>
        <v>62.66781609195403</v>
      </c>
    </row>
    <row r="92" spans="2:8" ht="18" customHeight="1" x14ac:dyDescent="0.25">
      <c r="B92" s="162">
        <v>3213</v>
      </c>
      <c r="C92" s="162"/>
      <c r="D92" s="162"/>
      <c r="E92" s="47" t="s">
        <v>88</v>
      </c>
      <c r="F92" s="62">
        <v>0</v>
      </c>
      <c r="G92" s="91">
        <v>325.17</v>
      </c>
      <c r="H92" s="80" t="s">
        <v>117</v>
      </c>
    </row>
    <row r="93" spans="2:8" ht="18" customHeight="1" x14ac:dyDescent="0.25">
      <c r="B93" s="162">
        <v>3222</v>
      </c>
      <c r="C93" s="162"/>
      <c r="D93" s="162"/>
      <c r="E93" s="47" t="s">
        <v>90</v>
      </c>
      <c r="F93" s="62">
        <v>2000</v>
      </c>
      <c r="G93" s="91">
        <v>1809.27</v>
      </c>
      <c r="H93" s="80">
        <f t="shared" si="1"/>
        <v>90.463499999999996</v>
      </c>
    </row>
    <row r="94" spans="2:8" ht="18" customHeight="1" x14ac:dyDescent="0.25">
      <c r="B94" s="162">
        <v>3223</v>
      </c>
      <c r="C94" s="162"/>
      <c r="D94" s="162"/>
      <c r="E94" s="47" t="s">
        <v>91</v>
      </c>
      <c r="F94" s="62">
        <v>100</v>
      </c>
      <c r="G94" s="91">
        <v>0</v>
      </c>
      <c r="H94" s="80">
        <f t="shared" si="1"/>
        <v>0</v>
      </c>
    </row>
    <row r="95" spans="2:8" ht="18" customHeight="1" x14ac:dyDescent="0.25">
      <c r="B95" s="163">
        <v>3227</v>
      </c>
      <c r="C95" s="164"/>
      <c r="D95" s="165"/>
      <c r="E95" s="47" t="s">
        <v>94</v>
      </c>
      <c r="F95" s="62">
        <v>350</v>
      </c>
      <c r="G95" s="91">
        <v>349.38</v>
      </c>
      <c r="H95" s="80">
        <f t="shared" si="1"/>
        <v>99.822857142857146</v>
      </c>
    </row>
    <row r="96" spans="2:8" ht="18" customHeight="1" x14ac:dyDescent="0.25">
      <c r="B96" s="163">
        <v>3231</v>
      </c>
      <c r="C96" s="164"/>
      <c r="D96" s="165"/>
      <c r="E96" s="47" t="s">
        <v>95</v>
      </c>
      <c r="F96" s="62">
        <v>1360</v>
      </c>
      <c r="G96" s="91">
        <v>1357.2</v>
      </c>
      <c r="H96" s="80">
        <f t="shared" si="1"/>
        <v>99.794117647058826</v>
      </c>
    </row>
    <row r="97" spans="2:8" ht="18" customHeight="1" x14ac:dyDescent="0.25">
      <c r="B97" s="163">
        <v>3237</v>
      </c>
      <c r="C97" s="164"/>
      <c r="D97" s="165"/>
      <c r="E97" s="47" t="s">
        <v>116</v>
      </c>
      <c r="F97" s="62">
        <v>19240</v>
      </c>
      <c r="G97" s="91">
        <v>19233.18</v>
      </c>
      <c r="H97" s="80">
        <f t="shared" si="1"/>
        <v>99.964553014553019</v>
      </c>
    </row>
    <row r="98" spans="2:8" ht="18" customHeight="1" x14ac:dyDescent="0.25">
      <c r="B98" s="163">
        <v>3295</v>
      </c>
      <c r="C98" s="164"/>
      <c r="D98" s="165"/>
      <c r="E98" s="47" t="s">
        <v>104</v>
      </c>
      <c r="F98" s="62">
        <v>420</v>
      </c>
      <c r="G98" s="91">
        <f>26.54+388.86</f>
        <v>415.40000000000003</v>
      </c>
      <c r="H98" s="80">
        <f t="shared" si="1"/>
        <v>98.904761904761912</v>
      </c>
    </row>
    <row r="99" spans="2:8" ht="18" customHeight="1" x14ac:dyDescent="0.25">
      <c r="B99" s="163">
        <v>3296</v>
      </c>
      <c r="C99" s="164"/>
      <c r="D99" s="165"/>
      <c r="E99" s="47" t="s">
        <v>207</v>
      </c>
      <c r="F99" s="62">
        <v>920</v>
      </c>
      <c r="G99" s="91">
        <v>912.47</v>
      </c>
      <c r="H99" s="80">
        <f t="shared" si="1"/>
        <v>99.181521739130446</v>
      </c>
    </row>
    <row r="100" spans="2:8" ht="18" customHeight="1" x14ac:dyDescent="0.25">
      <c r="B100" s="159">
        <v>34</v>
      </c>
      <c r="C100" s="160"/>
      <c r="D100" s="161"/>
      <c r="E100" s="54" t="s">
        <v>108</v>
      </c>
      <c r="F100" s="63">
        <f>F101</f>
        <v>950</v>
      </c>
      <c r="G100" s="108">
        <f>G101</f>
        <v>946.43</v>
      </c>
      <c r="H100" s="78">
        <f t="shared" si="1"/>
        <v>99.624210526315778</v>
      </c>
    </row>
    <row r="101" spans="2:8" ht="18" customHeight="1" x14ac:dyDescent="0.25">
      <c r="B101" s="163">
        <v>3433</v>
      </c>
      <c r="C101" s="164"/>
      <c r="D101" s="165"/>
      <c r="E101" s="47" t="s">
        <v>209</v>
      </c>
      <c r="F101" s="62">
        <v>950</v>
      </c>
      <c r="G101" s="91">
        <v>946.43</v>
      </c>
      <c r="H101" s="80">
        <f t="shared" si="1"/>
        <v>99.624210526315778</v>
      </c>
    </row>
    <row r="102" spans="2:8" ht="18" customHeight="1" x14ac:dyDescent="0.25">
      <c r="B102" s="159">
        <v>38</v>
      </c>
      <c r="C102" s="160"/>
      <c r="D102" s="161"/>
      <c r="E102" s="54" t="s">
        <v>181</v>
      </c>
      <c r="F102" s="63">
        <f>F103</f>
        <v>1036</v>
      </c>
      <c r="G102" s="108">
        <f>G103</f>
        <v>1035.67</v>
      </c>
      <c r="H102" s="78">
        <f t="shared" si="1"/>
        <v>99.968146718146727</v>
      </c>
    </row>
    <row r="103" spans="2:8" ht="18" customHeight="1" x14ac:dyDescent="0.25">
      <c r="B103" s="163">
        <v>3812</v>
      </c>
      <c r="C103" s="164"/>
      <c r="D103" s="165"/>
      <c r="E103" s="47" t="s">
        <v>224</v>
      </c>
      <c r="F103" s="62">
        <v>1036</v>
      </c>
      <c r="G103" s="91">
        <v>1035.67</v>
      </c>
      <c r="H103" s="80">
        <f t="shared" si="1"/>
        <v>99.968146718146727</v>
      </c>
    </row>
    <row r="104" spans="2:8" ht="30" customHeight="1" x14ac:dyDescent="0.25">
      <c r="B104" s="159">
        <v>42</v>
      </c>
      <c r="C104" s="160"/>
      <c r="D104" s="161"/>
      <c r="E104" s="54" t="s">
        <v>111</v>
      </c>
      <c r="F104" s="63">
        <f>F105+F106</f>
        <v>875</v>
      </c>
      <c r="G104" s="93">
        <f>G105+G106</f>
        <v>874.79</v>
      </c>
      <c r="H104" s="78">
        <f t="shared" si="1"/>
        <v>99.975999999999999</v>
      </c>
    </row>
    <row r="105" spans="2:8" ht="18" customHeight="1" x14ac:dyDescent="0.25">
      <c r="B105" s="163">
        <v>4214</v>
      </c>
      <c r="C105" s="164"/>
      <c r="D105" s="165"/>
      <c r="E105" s="47" t="s">
        <v>235</v>
      </c>
      <c r="F105" s="62">
        <v>0</v>
      </c>
      <c r="G105" s="91">
        <v>0</v>
      </c>
      <c r="H105" s="78" t="s">
        <v>117</v>
      </c>
    </row>
    <row r="106" spans="2:8" ht="18" customHeight="1" x14ac:dyDescent="0.25">
      <c r="B106" s="163">
        <v>4241</v>
      </c>
      <c r="C106" s="164"/>
      <c r="D106" s="165"/>
      <c r="E106" s="47" t="s">
        <v>168</v>
      </c>
      <c r="F106" s="62">
        <v>875</v>
      </c>
      <c r="G106" s="91">
        <v>874.79</v>
      </c>
      <c r="H106" s="80">
        <f t="shared" si="1"/>
        <v>99.975999999999999</v>
      </c>
    </row>
    <row r="107" spans="2:8" s="56" customFormat="1" ht="18" customHeight="1" x14ac:dyDescent="0.25">
      <c r="B107" s="166">
        <v>95</v>
      </c>
      <c r="C107" s="167"/>
      <c r="D107" s="168"/>
      <c r="E107" s="74" t="s">
        <v>237</v>
      </c>
      <c r="F107" s="63">
        <f>F108</f>
        <v>48754</v>
      </c>
      <c r="G107" s="93">
        <f>G108</f>
        <v>48753.67</v>
      </c>
      <c r="H107" s="78">
        <f t="shared" si="1"/>
        <v>99.99932313246093</v>
      </c>
    </row>
    <row r="108" spans="2:8" ht="30" customHeight="1" x14ac:dyDescent="0.25">
      <c r="B108" s="159">
        <v>42</v>
      </c>
      <c r="C108" s="160"/>
      <c r="D108" s="161"/>
      <c r="E108" s="74" t="s">
        <v>111</v>
      </c>
      <c r="F108" s="63">
        <f>F109</f>
        <v>48754</v>
      </c>
      <c r="G108" s="93">
        <f>G109</f>
        <v>48753.67</v>
      </c>
      <c r="H108" s="78">
        <f t="shared" si="1"/>
        <v>99.99932313246093</v>
      </c>
    </row>
    <row r="109" spans="2:8" ht="18" customHeight="1" x14ac:dyDescent="0.25">
      <c r="B109" s="163">
        <v>4214</v>
      </c>
      <c r="C109" s="164"/>
      <c r="D109" s="165"/>
      <c r="E109" s="47" t="s">
        <v>235</v>
      </c>
      <c r="F109" s="62">
        <v>48754</v>
      </c>
      <c r="G109" s="91">
        <v>48753.67</v>
      </c>
      <c r="H109" s="80">
        <f t="shared" si="1"/>
        <v>99.99932313246093</v>
      </c>
    </row>
    <row r="110" spans="2:8" s="56" customFormat="1" ht="18" customHeight="1" x14ac:dyDescent="0.25">
      <c r="B110" s="166">
        <v>54</v>
      </c>
      <c r="C110" s="167"/>
      <c r="D110" s="168"/>
      <c r="E110" s="54" t="s">
        <v>169</v>
      </c>
      <c r="F110" s="63">
        <f>F111+F115</f>
        <v>19267</v>
      </c>
      <c r="G110" s="108">
        <f>G111+G115</f>
        <v>19558.919999999998</v>
      </c>
      <c r="H110" s="78">
        <f t="shared" si="1"/>
        <v>101.51512949602947</v>
      </c>
    </row>
    <row r="111" spans="2:8" ht="18" customHeight="1" x14ac:dyDescent="0.25">
      <c r="B111" s="159">
        <v>31</v>
      </c>
      <c r="C111" s="160"/>
      <c r="D111" s="161"/>
      <c r="E111" s="54" t="s">
        <v>5</v>
      </c>
      <c r="F111" s="63">
        <f>SUM(F112:F114)</f>
        <v>17425</v>
      </c>
      <c r="G111" s="93">
        <f>SUM(G112:G114)</f>
        <v>17119.75</v>
      </c>
      <c r="H111" s="78">
        <f t="shared" si="1"/>
        <v>98.248206599713058</v>
      </c>
    </row>
    <row r="112" spans="2:8" ht="18" customHeight="1" x14ac:dyDescent="0.25">
      <c r="B112" s="162">
        <v>3111</v>
      </c>
      <c r="C112" s="162"/>
      <c r="D112" s="162"/>
      <c r="E112" s="47" t="s">
        <v>42</v>
      </c>
      <c r="F112" s="62">
        <v>13280</v>
      </c>
      <c r="G112" s="91">
        <v>13278.76</v>
      </c>
      <c r="H112" s="80">
        <f t="shared" si="1"/>
        <v>99.990662650602417</v>
      </c>
    </row>
    <row r="113" spans="2:8" ht="18" customHeight="1" x14ac:dyDescent="0.25">
      <c r="B113" s="162">
        <v>3121</v>
      </c>
      <c r="C113" s="162"/>
      <c r="D113" s="162"/>
      <c r="E113" s="47" t="s">
        <v>162</v>
      </c>
      <c r="F113" s="62">
        <v>1950</v>
      </c>
      <c r="G113" s="91">
        <v>1650</v>
      </c>
      <c r="H113" s="80">
        <f t="shared" si="1"/>
        <v>84.615384615384613</v>
      </c>
    </row>
    <row r="114" spans="2:8" ht="18" customHeight="1" x14ac:dyDescent="0.25">
      <c r="B114" s="162">
        <v>3132</v>
      </c>
      <c r="C114" s="162"/>
      <c r="D114" s="162"/>
      <c r="E114" s="47" t="s">
        <v>163</v>
      </c>
      <c r="F114" s="62">
        <v>2195</v>
      </c>
      <c r="G114" s="91">
        <v>2190.9899999999998</v>
      </c>
      <c r="H114" s="80">
        <f t="shared" si="1"/>
        <v>99.817312072892932</v>
      </c>
    </row>
    <row r="115" spans="2:8" ht="18" customHeight="1" x14ac:dyDescent="0.25">
      <c r="B115" s="159">
        <v>32</v>
      </c>
      <c r="C115" s="160"/>
      <c r="D115" s="161"/>
      <c r="E115" s="54" t="s">
        <v>13</v>
      </c>
      <c r="F115" s="63">
        <f>F116+F117+F118</f>
        <v>1842</v>
      </c>
      <c r="G115" s="108">
        <f>SUM(G116:G119)</f>
        <v>2439.17</v>
      </c>
      <c r="H115" s="78">
        <f t="shared" si="1"/>
        <v>132.41965255157439</v>
      </c>
    </row>
    <row r="116" spans="2:8" ht="34.9" customHeight="1" x14ac:dyDescent="0.25">
      <c r="B116" s="162">
        <v>3212</v>
      </c>
      <c r="C116" s="162"/>
      <c r="D116" s="162"/>
      <c r="E116" s="47" t="s">
        <v>203</v>
      </c>
      <c r="F116" s="62">
        <v>1330</v>
      </c>
      <c r="G116" s="91">
        <v>1321.81</v>
      </c>
      <c r="H116" s="80">
        <f t="shared" si="1"/>
        <v>99.384210526315783</v>
      </c>
    </row>
    <row r="117" spans="2:8" ht="18" customHeight="1" x14ac:dyDescent="0.25">
      <c r="B117" s="162">
        <v>3222</v>
      </c>
      <c r="C117" s="162"/>
      <c r="D117" s="162"/>
      <c r="E117" s="47" t="s">
        <v>90</v>
      </c>
      <c r="F117" s="62">
        <v>292</v>
      </c>
      <c r="G117" s="91">
        <v>334.34</v>
      </c>
      <c r="H117" s="80">
        <f t="shared" si="1"/>
        <v>114.5</v>
      </c>
    </row>
    <row r="118" spans="2:8" ht="18" customHeight="1" x14ac:dyDescent="0.25">
      <c r="B118" s="163">
        <v>3232</v>
      </c>
      <c r="C118" s="164"/>
      <c r="D118" s="165"/>
      <c r="E118" s="47" t="s">
        <v>96</v>
      </c>
      <c r="F118" s="62">
        <v>220</v>
      </c>
      <c r="G118" s="91">
        <v>220</v>
      </c>
      <c r="H118" s="80">
        <f t="shared" si="1"/>
        <v>100</v>
      </c>
    </row>
    <row r="119" spans="2:8" ht="18" customHeight="1" x14ac:dyDescent="0.25">
      <c r="B119" s="163">
        <v>3293</v>
      </c>
      <c r="C119" s="164"/>
      <c r="D119" s="165"/>
      <c r="E119" s="47" t="s">
        <v>103</v>
      </c>
      <c r="F119" s="62"/>
      <c r="G119" s="91">
        <v>563.02</v>
      </c>
      <c r="H119" s="80" t="s">
        <v>117</v>
      </c>
    </row>
    <row r="120" spans="2:8" s="56" customFormat="1" ht="18" customHeight="1" x14ac:dyDescent="0.25">
      <c r="B120" s="166">
        <v>57</v>
      </c>
      <c r="C120" s="167"/>
      <c r="D120" s="168"/>
      <c r="E120" s="54" t="s">
        <v>170</v>
      </c>
      <c r="F120" s="63">
        <f>F121+F124+F137</f>
        <v>157140</v>
      </c>
      <c r="G120" s="93">
        <f>G121+G124+G137</f>
        <v>104199.54</v>
      </c>
      <c r="H120" s="78">
        <f t="shared" si="1"/>
        <v>66.310003818251246</v>
      </c>
    </row>
    <row r="121" spans="2:8" ht="18" customHeight="1" x14ac:dyDescent="0.25">
      <c r="B121" s="159">
        <v>31</v>
      </c>
      <c r="C121" s="160"/>
      <c r="D121" s="161"/>
      <c r="E121" s="54" t="s">
        <v>5</v>
      </c>
      <c r="F121" s="63">
        <f>SUM(F122:F123)</f>
        <v>86790</v>
      </c>
      <c r="G121" s="93">
        <f>G122+G123</f>
        <v>65073.079999999994</v>
      </c>
      <c r="H121" s="78">
        <f t="shared" si="1"/>
        <v>74.977624150247706</v>
      </c>
    </row>
    <row r="122" spans="2:8" ht="18" customHeight="1" x14ac:dyDescent="0.25">
      <c r="B122" s="162">
        <v>3111</v>
      </c>
      <c r="C122" s="162"/>
      <c r="D122" s="162"/>
      <c r="E122" s="47" t="s">
        <v>42</v>
      </c>
      <c r="F122" s="62">
        <v>74580</v>
      </c>
      <c r="G122" s="91">
        <v>56248.34</v>
      </c>
      <c r="H122" s="80">
        <f t="shared" si="1"/>
        <v>75.420139447573078</v>
      </c>
    </row>
    <row r="123" spans="2:8" ht="18" customHeight="1" x14ac:dyDescent="0.25">
      <c r="B123" s="162">
        <v>3132</v>
      </c>
      <c r="C123" s="162"/>
      <c r="D123" s="162"/>
      <c r="E123" s="47" t="s">
        <v>163</v>
      </c>
      <c r="F123" s="62">
        <v>12210</v>
      </c>
      <c r="G123" s="91">
        <v>8824.74</v>
      </c>
      <c r="H123" s="80">
        <f t="shared" si="1"/>
        <v>72.274692874692875</v>
      </c>
    </row>
    <row r="124" spans="2:8" ht="18" customHeight="1" x14ac:dyDescent="0.25">
      <c r="B124" s="159">
        <v>32</v>
      </c>
      <c r="C124" s="160"/>
      <c r="D124" s="161"/>
      <c r="E124" s="54" t="s">
        <v>13</v>
      </c>
      <c r="F124" s="63">
        <f>SUM(F125:F136)</f>
        <v>61651</v>
      </c>
      <c r="G124" s="93">
        <f>SUM(G125:G136)</f>
        <v>38044.069999999992</v>
      </c>
      <c r="H124" s="78">
        <f t="shared" si="1"/>
        <v>61.708763848112746</v>
      </c>
    </row>
    <row r="125" spans="2:8" ht="18" customHeight="1" x14ac:dyDescent="0.25">
      <c r="B125" s="162">
        <v>3211</v>
      </c>
      <c r="C125" s="162"/>
      <c r="D125" s="162"/>
      <c r="E125" s="47" t="s">
        <v>44</v>
      </c>
      <c r="F125" s="62">
        <f>60000-38000</f>
        <v>22000</v>
      </c>
      <c r="G125" s="91">
        <f>48719.18-38000</f>
        <v>10719.18</v>
      </c>
      <c r="H125" s="80">
        <f t="shared" si="1"/>
        <v>48.723545454545459</v>
      </c>
    </row>
    <row r="126" spans="2:8" ht="33.6" customHeight="1" x14ac:dyDescent="0.25">
      <c r="B126" s="162">
        <v>3212</v>
      </c>
      <c r="C126" s="162"/>
      <c r="D126" s="162"/>
      <c r="E126" s="47" t="s">
        <v>203</v>
      </c>
      <c r="F126" s="62">
        <v>7300</v>
      </c>
      <c r="G126" s="91">
        <v>3680.17</v>
      </c>
      <c r="H126" s="80">
        <f t="shared" si="1"/>
        <v>50.413287671232879</v>
      </c>
    </row>
    <row r="127" spans="2:8" ht="18" customHeight="1" x14ac:dyDescent="0.25">
      <c r="B127" s="162">
        <v>3221</v>
      </c>
      <c r="C127" s="162"/>
      <c r="D127" s="162"/>
      <c r="E127" s="47" t="s">
        <v>89</v>
      </c>
      <c r="F127" s="62">
        <f>4500-1800</f>
        <v>2700</v>
      </c>
      <c r="G127" s="91">
        <f>2879.02-1800</f>
        <v>1079.02</v>
      </c>
      <c r="H127" s="80">
        <f t="shared" si="1"/>
        <v>39.9637037037037</v>
      </c>
    </row>
    <row r="128" spans="2:8" ht="18" customHeight="1" x14ac:dyDescent="0.25">
      <c r="B128" s="162">
        <v>3222</v>
      </c>
      <c r="C128" s="162"/>
      <c r="D128" s="162"/>
      <c r="E128" s="47" t="s">
        <v>90</v>
      </c>
      <c r="F128" s="62">
        <v>1500</v>
      </c>
      <c r="G128" s="91">
        <v>322.14</v>
      </c>
      <c r="H128" s="80">
        <f t="shared" si="1"/>
        <v>21.475999999999999</v>
      </c>
    </row>
    <row r="129" spans="2:8" ht="18" customHeight="1" x14ac:dyDescent="0.25">
      <c r="B129" s="162">
        <v>3223</v>
      </c>
      <c r="C129" s="162"/>
      <c r="D129" s="162"/>
      <c r="E129" s="47" t="s">
        <v>91</v>
      </c>
      <c r="F129" s="62">
        <v>10000</v>
      </c>
      <c r="G129" s="91">
        <v>10052.43</v>
      </c>
      <c r="H129" s="80">
        <f t="shared" si="1"/>
        <v>100.52430000000001</v>
      </c>
    </row>
    <row r="130" spans="2:8" ht="30" customHeight="1" x14ac:dyDescent="0.25">
      <c r="B130" s="163">
        <v>3224</v>
      </c>
      <c r="C130" s="164"/>
      <c r="D130" s="165"/>
      <c r="E130" s="47" t="s">
        <v>92</v>
      </c>
      <c r="F130" s="62">
        <v>45</v>
      </c>
      <c r="G130" s="91">
        <f>955.84-955.84</f>
        <v>0</v>
      </c>
      <c r="H130" s="80">
        <f t="shared" si="1"/>
        <v>0</v>
      </c>
    </row>
    <row r="131" spans="2:8" ht="18" customHeight="1" x14ac:dyDescent="0.25">
      <c r="B131" s="163">
        <v>3227</v>
      </c>
      <c r="C131" s="164"/>
      <c r="D131" s="165"/>
      <c r="E131" s="47" t="s">
        <v>94</v>
      </c>
      <c r="F131" s="62">
        <f>2000-1500</f>
        <v>500</v>
      </c>
      <c r="G131" s="91">
        <f>1977.5-1500</f>
        <v>477.5</v>
      </c>
      <c r="H131" s="80">
        <f t="shared" si="1"/>
        <v>95.5</v>
      </c>
    </row>
    <row r="132" spans="2:8" ht="18" customHeight="1" x14ac:dyDescent="0.25">
      <c r="B132" s="163">
        <v>3239</v>
      </c>
      <c r="C132" s="164"/>
      <c r="D132" s="165"/>
      <c r="E132" s="47" t="s">
        <v>101</v>
      </c>
      <c r="F132" s="62">
        <f>5000-2000</f>
        <v>3000</v>
      </c>
      <c r="G132" s="91">
        <f>2157.39-2000</f>
        <v>157.38999999999987</v>
      </c>
      <c r="H132" s="80">
        <f t="shared" si="1"/>
        <v>5.2463333333333289</v>
      </c>
    </row>
    <row r="133" spans="2:8" ht="34.15" customHeight="1" x14ac:dyDescent="0.25">
      <c r="B133" s="163">
        <v>3241</v>
      </c>
      <c r="C133" s="164"/>
      <c r="D133" s="165"/>
      <c r="E133" s="47" t="s">
        <v>205</v>
      </c>
      <c r="F133" s="62">
        <f>87000-78000</f>
        <v>9000</v>
      </c>
      <c r="G133" s="91">
        <f>86732.29-78000</f>
        <v>8732.2899999999936</v>
      </c>
      <c r="H133" s="80">
        <f t="shared" si="1"/>
        <v>97.025444444444375</v>
      </c>
    </row>
    <row r="134" spans="2:8" ht="18" customHeight="1" x14ac:dyDescent="0.25">
      <c r="B134" s="163">
        <v>3292</v>
      </c>
      <c r="C134" s="164"/>
      <c r="D134" s="165"/>
      <c r="E134" s="47" t="s">
        <v>102</v>
      </c>
      <c r="F134" s="62">
        <f>1990-214</f>
        <v>1776</v>
      </c>
      <c r="G134" s="91">
        <f>588.38-213.85</f>
        <v>374.53</v>
      </c>
      <c r="H134" s="80">
        <f t="shared" si="1"/>
        <v>21.088400900900901</v>
      </c>
    </row>
    <row r="135" spans="2:8" ht="18" customHeight="1" x14ac:dyDescent="0.25">
      <c r="B135" s="163">
        <v>3293</v>
      </c>
      <c r="C135" s="164"/>
      <c r="D135" s="165"/>
      <c r="E135" s="47" t="s">
        <v>103</v>
      </c>
      <c r="F135" s="62">
        <v>2500</v>
      </c>
      <c r="G135" s="91">
        <v>1589.78</v>
      </c>
      <c r="H135" s="80">
        <f t="shared" si="1"/>
        <v>63.591200000000001</v>
      </c>
    </row>
    <row r="136" spans="2:8" ht="18" customHeight="1" x14ac:dyDescent="0.25">
      <c r="B136" s="163">
        <v>3299</v>
      </c>
      <c r="C136" s="164"/>
      <c r="D136" s="165"/>
      <c r="E136" s="47" t="s">
        <v>105</v>
      </c>
      <c r="F136" s="62">
        <v>1330</v>
      </c>
      <c r="G136" s="91">
        <v>859.64</v>
      </c>
      <c r="H136" s="80">
        <f t="shared" si="1"/>
        <v>64.634586466165416</v>
      </c>
    </row>
    <row r="137" spans="2:8" ht="30" customHeight="1" x14ac:dyDescent="0.25">
      <c r="B137" s="159">
        <v>42</v>
      </c>
      <c r="C137" s="160"/>
      <c r="D137" s="161"/>
      <c r="E137" s="54" t="s">
        <v>111</v>
      </c>
      <c r="F137" s="63">
        <f>F138</f>
        <v>8699</v>
      </c>
      <c r="G137" s="93">
        <f>G138</f>
        <v>1082.3900000000001</v>
      </c>
      <c r="H137" s="78">
        <f t="shared" ref="H137:H185" si="2">G137/F137*100</f>
        <v>12.442694562593402</v>
      </c>
    </row>
    <row r="138" spans="2:8" ht="18" customHeight="1" x14ac:dyDescent="0.25">
      <c r="B138" s="163">
        <v>4227</v>
      </c>
      <c r="C138" s="164"/>
      <c r="D138" s="165"/>
      <c r="E138" s="47" t="s">
        <v>113</v>
      </c>
      <c r="F138" s="62">
        <v>8699</v>
      </c>
      <c r="G138" s="91">
        <v>1082.3900000000001</v>
      </c>
      <c r="H138" s="80">
        <f t="shared" si="2"/>
        <v>12.442694562593402</v>
      </c>
    </row>
    <row r="139" spans="2:8" s="56" customFormat="1" ht="18" customHeight="1" x14ac:dyDescent="0.25">
      <c r="B139" s="166">
        <v>95</v>
      </c>
      <c r="C139" s="167"/>
      <c r="D139" s="168"/>
      <c r="E139" s="75" t="s">
        <v>241</v>
      </c>
      <c r="F139" s="63">
        <f>F140</f>
        <v>122469</v>
      </c>
      <c r="G139" s="93">
        <f>G140</f>
        <v>122469.69</v>
      </c>
      <c r="H139" s="78">
        <f t="shared" si="2"/>
        <v>100.00056340788281</v>
      </c>
    </row>
    <row r="140" spans="2:8" ht="18" customHeight="1" x14ac:dyDescent="0.25">
      <c r="B140" s="159">
        <v>32</v>
      </c>
      <c r="C140" s="160"/>
      <c r="D140" s="161"/>
      <c r="E140" s="75" t="s">
        <v>13</v>
      </c>
      <c r="F140" s="63">
        <f>SUM(F141:F147)</f>
        <v>122469</v>
      </c>
      <c r="G140" s="93">
        <f>SUM(G141:G147)</f>
        <v>122469.69</v>
      </c>
      <c r="H140" s="78">
        <f t="shared" si="2"/>
        <v>100.00056340788281</v>
      </c>
    </row>
    <row r="141" spans="2:8" ht="18" customHeight="1" x14ac:dyDescent="0.25">
      <c r="B141" s="162">
        <v>3211</v>
      </c>
      <c r="C141" s="162"/>
      <c r="D141" s="162"/>
      <c r="E141" s="47" t="s">
        <v>44</v>
      </c>
      <c r="F141" s="62">
        <v>38000</v>
      </c>
      <c r="G141" s="91">
        <v>38000</v>
      </c>
      <c r="H141" s="80">
        <f t="shared" si="2"/>
        <v>100</v>
      </c>
    </row>
    <row r="142" spans="2:8" ht="18" customHeight="1" x14ac:dyDescent="0.25">
      <c r="B142" s="162">
        <v>3221</v>
      </c>
      <c r="C142" s="162"/>
      <c r="D142" s="162"/>
      <c r="E142" s="47" t="s">
        <v>89</v>
      </c>
      <c r="F142" s="62">
        <v>1800</v>
      </c>
      <c r="G142" s="91">
        <v>1800</v>
      </c>
      <c r="H142" s="80">
        <f t="shared" si="2"/>
        <v>100</v>
      </c>
    </row>
    <row r="143" spans="2:8" ht="30" customHeight="1" x14ac:dyDescent="0.25">
      <c r="B143" s="163">
        <v>3224</v>
      </c>
      <c r="C143" s="164"/>
      <c r="D143" s="165"/>
      <c r="E143" s="47" t="s">
        <v>92</v>
      </c>
      <c r="F143" s="62">
        <v>955</v>
      </c>
      <c r="G143" s="91">
        <v>955.84</v>
      </c>
      <c r="H143" s="80">
        <f t="shared" si="2"/>
        <v>100.08795811518326</v>
      </c>
    </row>
    <row r="144" spans="2:8" ht="18" customHeight="1" x14ac:dyDescent="0.25">
      <c r="B144" s="163">
        <v>3227</v>
      </c>
      <c r="C144" s="164"/>
      <c r="D144" s="165"/>
      <c r="E144" s="47" t="s">
        <v>94</v>
      </c>
      <c r="F144" s="62">
        <v>1500</v>
      </c>
      <c r="G144" s="91">
        <v>1500</v>
      </c>
      <c r="H144" s="80">
        <f t="shared" si="2"/>
        <v>100</v>
      </c>
    </row>
    <row r="145" spans="2:8" ht="18" customHeight="1" x14ac:dyDescent="0.25">
      <c r="B145" s="163">
        <v>3239</v>
      </c>
      <c r="C145" s="164"/>
      <c r="D145" s="165"/>
      <c r="E145" s="47" t="s">
        <v>101</v>
      </c>
      <c r="F145" s="62">
        <v>2000</v>
      </c>
      <c r="G145" s="91">
        <v>2000</v>
      </c>
      <c r="H145" s="80">
        <f t="shared" si="2"/>
        <v>100</v>
      </c>
    </row>
    <row r="146" spans="2:8" ht="34.15" customHeight="1" x14ac:dyDescent="0.25">
      <c r="B146" s="163">
        <v>3241</v>
      </c>
      <c r="C146" s="164"/>
      <c r="D146" s="165"/>
      <c r="E146" s="47" t="s">
        <v>205</v>
      </c>
      <c r="F146" s="62">
        <v>78000</v>
      </c>
      <c r="G146" s="91">
        <v>78000</v>
      </c>
      <c r="H146" s="80">
        <f t="shared" si="2"/>
        <v>100</v>
      </c>
    </row>
    <row r="147" spans="2:8" ht="18" customHeight="1" x14ac:dyDescent="0.25">
      <c r="B147" s="163">
        <v>3292</v>
      </c>
      <c r="C147" s="164"/>
      <c r="D147" s="165"/>
      <c r="E147" s="47" t="s">
        <v>102</v>
      </c>
      <c r="F147" s="62">
        <v>214</v>
      </c>
      <c r="G147" s="91">
        <v>213.85</v>
      </c>
      <c r="H147" s="80">
        <f t="shared" si="2"/>
        <v>99.929906542056074</v>
      </c>
    </row>
    <row r="148" spans="2:8" s="56" customFormat="1" ht="18" customHeight="1" x14ac:dyDescent="0.25">
      <c r="B148" s="166">
        <v>71</v>
      </c>
      <c r="C148" s="167"/>
      <c r="D148" s="168"/>
      <c r="E148" s="54" t="s">
        <v>26</v>
      </c>
      <c r="F148" s="63">
        <f>F149</f>
        <v>130</v>
      </c>
      <c r="G148" s="108">
        <f>G149</f>
        <v>126.93</v>
      </c>
      <c r="H148" s="78">
        <f t="shared" si="2"/>
        <v>97.638461538461542</v>
      </c>
    </row>
    <row r="149" spans="2:8" ht="18" customHeight="1" x14ac:dyDescent="0.25">
      <c r="B149" s="159">
        <v>32</v>
      </c>
      <c r="C149" s="160"/>
      <c r="D149" s="161"/>
      <c r="E149" s="54" t="s">
        <v>13</v>
      </c>
      <c r="F149" s="63">
        <f>F150+F151</f>
        <v>130</v>
      </c>
      <c r="G149" s="108">
        <f>G150+G151</f>
        <v>126.93</v>
      </c>
      <c r="H149" s="78">
        <f t="shared" si="2"/>
        <v>97.638461538461542</v>
      </c>
    </row>
    <row r="150" spans="2:8" ht="30" customHeight="1" x14ac:dyDescent="0.25">
      <c r="B150" s="163">
        <v>3224</v>
      </c>
      <c r="C150" s="164"/>
      <c r="D150" s="165"/>
      <c r="E150" s="47" t="s">
        <v>92</v>
      </c>
      <c r="F150" s="62">
        <v>65</v>
      </c>
      <c r="G150" s="91">
        <v>63.47</v>
      </c>
      <c r="H150" s="80">
        <f t="shared" si="2"/>
        <v>97.646153846153851</v>
      </c>
    </row>
    <row r="151" spans="2:8" ht="18" customHeight="1" x14ac:dyDescent="0.25">
      <c r="B151" s="163">
        <v>3232</v>
      </c>
      <c r="C151" s="164"/>
      <c r="D151" s="165"/>
      <c r="E151" s="47" t="s">
        <v>96</v>
      </c>
      <c r="F151" s="62">
        <v>65</v>
      </c>
      <c r="G151" s="91">
        <v>63.46</v>
      </c>
      <c r="H151" s="80">
        <f t="shared" si="2"/>
        <v>97.630769230769232</v>
      </c>
    </row>
    <row r="152" spans="2:8" s="56" customFormat="1" ht="43.9" customHeight="1" x14ac:dyDescent="0.25">
      <c r="B152" s="158" t="s">
        <v>173</v>
      </c>
      <c r="C152" s="158"/>
      <c r="D152" s="158"/>
      <c r="E152" s="54" t="s">
        <v>174</v>
      </c>
      <c r="F152" s="63">
        <f>F153</f>
        <v>18625</v>
      </c>
      <c r="G152" s="108">
        <f>G153</f>
        <v>18584.77</v>
      </c>
      <c r="H152" s="78">
        <f t="shared" si="2"/>
        <v>99.784000000000006</v>
      </c>
    </row>
    <row r="153" spans="2:8" s="56" customFormat="1" ht="18" customHeight="1" x14ac:dyDescent="0.25">
      <c r="B153" s="166">
        <v>11</v>
      </c>
      <c r="C153" s="167"/>
      <c r="D153" s="168"/>
      <c r="E153" s="54" t="s">
        <v>140</v>
      </c>
      <c r="F153" s="63">
        <f>F154+F158</f>
        <v>18625</v>
      </c>
      <c r="G153" s="93">
        <f>G154+G158</f>
        <v>18584.77</v>
      </c>
      <c r="H153" s="78">
        <f t="shared" si="2"/>
        <v>99.784000000000006</v>
      </c>
    </row>
    <row r="154" spans="2:8" ht="18" customHeight="1" x14ac:dyDescent="0.25">
      <c r="B154" s="159">
        <v>31</v>
      </c>
      <c r="C154" s="160"/>
      <c r="D154" s="161"/>
      <c r="E154" s="54" t="s">
        <v>5</v>
      </c>
      <c r="F154" s="63">
        <f>SUM(F155:F157)</f>
        <v>16995</v>
      </c>
      <c r="G154" s="93">
        <f>G155+G156+G157</f>
        <v>16963.22</v>
      </c>
      <c r="H154" s="78">
        <f t="shared" si="2"/>
        <v>99.813003824654317</v>
      </c>
    </row>
    <row r="155" spans="2:8" ht="18" customHeight="1" x14ac:dyDescent="0.25">
      <c r="B155" s="162">
        <v>3111</v>
      </c>
      <c r="C155" s="162"/>
      <c r="D155" s="162"/>
      <c r="E155" s="47" t="s">
        <v>42</v>
      </c>
      <c r="F155" s="62">
        <f>15200-105-300</f>
        <v>14795</v>
      </c>
      <c r="G155" s="91">
        <v>12886.89</v>
      </c>
      <c r="H155" s="80">
        <f t="shared" si="2"/>
        <v>87.103007772896248</v>
      </c>
    </row>
    <row r="156" spans="2:8" ht="18" customHeight="1" x14ac:dyDescent="0.25">
      <c r="B156" s="162">
        <v>3121</v>
      </c>
      <c r="C156" s="162"/>
      <c r="D156" s="162"/>
      <c r="E156" s="47" t="s">
        <v>162</v>
      </c>
      <c r="F156" s="62"/>
      <c r="G156" s="91">
        <f>600+1350</f>
        <v>1950</v>
      </c>
      <c r="H156" s="80" t="s">
        <v>117</v>
      </c>
    </row>
    <row r="157" spans="2:8" ht="18" customHeight="1" x14ac:dyDescent="0.25">
      <c r="B157" s="162">
        <v>3132</v>
      </c>
      <c r="C157" s="162"/>
      <c r="D157" s="162"/>
      <c r="E157" s="47" t="s">
        <v>163</v>
      </c>
      <c r="F157" s="62">
        <v>2200</v>
      </c>
      <c r="G157" s="91">
        <v>2126.33</v>
      </c>
      <c r="H157" s="80">
        <f t="shared" si="2"/>
        <v>96.651363636363627</v>
      </c>
    </row>
    <row r="158" spans="2:8" ht="18" customHeight="1" x14ac:dyDescent="0.25">
      <c r="B158" s="159">
        <v>32</v>
      </c>
      <c r="C158" s="160"/>
      <c r="D158" s="161"/>
      <c r="E158" s="57" t="s">
        <v>13</v>
      </c>
      <c r="F158" s="63">
        <f>F159</f>
        <v>1630</v>
      </c>
      <c r="G158" s="93">
        <f>G159</f>
        <v>1621.55</v>
      </c>
      <c r="H158" s="78">
        <f t="shared" si="2"/>
        <v>99.481595092024534</v>
      </c>
    </row>
    <row r="159" spans="2:8" ht="34.9" customHeight="1" x14ac:dyDescent="0.25">
      <c r="B159" s="162">
        <v>3212</v>
      </c>
      <c r="C159" s="162"/>
      <c r="D159" s="162"/>
      <c r="E159" s="47" t="s">
        <v>203</v>
      </c>
      <c r="F159" s="62">
        <v>1630</v>
      </c>
      <c r="G159" s="91">
        <v>1621.55</v>
      </c>
      <c r="H159" s="80">
        <f t="shared" si="2"/>
        <v>99.481595092024534</v>
      </c>
    </row>
    <row r="160" spans="2:8" s="56" customFormat="1" ht="43.9" customHeight="1" x14ac:dyDescent="0.25">
      <c r="B160" s="158" t="s">
        <v>177</v>
      </c>
      <c r="C160" s="158"/>
      <c r="D160" s="158"/>
      <c r="E160" s="57" t="s">
        <v>178</v>
      </c>
      <c r="F160" s="63">
        <f t="shared" ref="F160:G162" si="3">F161</f>
        <v>3550</v>
      </c>
      <c r="G160" s="108">
        <f t="shared" si="3"/>
        <v>3918.04</v>
      </c>
      <c r="H160" s="78">
        <f t="shared" si="2"/>
        <v>110.36732394366197</v>
      </c>
    </row>
    <row r="161" spans="2:8" s="56" customFormat="1" ht="18" customHeight="1" x14ac:dyDescent="0.25">
      <c r="B161" s="166">
        <v>57</v>
      </c>
      <c r="C161" s="167"/>
      <c r="D161" s="168"/>
      <c r="E161" s="57" t="s">
        <v>170</v>
      </c>
      <c r="F161" s="63">
        <f t="shared" si="3"/>
        <v>3550</v>
      </c>
      <c r="G161" s="93">
        <f t="shared" si="3"/>
        <v>3918.04</v>
      </c>
      <c r="H161" s="78">
        <f t="shared" si="2"/>
        <v>110.36732394366197</v>
      </c>
    </row>
    <row r="162" spans="2:8" ht="18" customHeight="1" x14ac:dyDescent="0.25">
      <c r="B162" s="159">
        <v>32</v>
      </c>
      <c r="C162" s="160"/>
      <c r="D162" s="161"/>
      <c r="E162" s="57" t="s">
        <v>13</v>
      </c>
      <c r="F162" s="63">
        <f t="shared" si="3"/>
        <v>3550</v>
      </c>
      <c r="G162" s="93">
        <f t="shared" si="3"/>
        <v>3918.04</v>
      </c>
      <c r="H162" s="78">
        <f t="shared" si="2"/>
        <v>110.36732394366197</v>
      </c>
    </row>
    <row r="163" spans="2:8" ht="18" customHeight="1" x14ac:dyDescent="0.25">
      <c r="B163" s="162">
        <v>3222</v>
      </c>
      <c r="C163" s="162"/>
      <c r="D163" s="162"/>
      <c r="E163" s="47" t="s">
        <v>90</v>
      </c>
      <c r="F163" s="62">
        <v>3550</v>
      </c>
      <c r="G163" s="91">
        <v>3918.04</v>
      </c>
      <c r="H163" s="80">
        <f t="shared" si="2"/>
        <v>110.36732394366197</v>
      </c>
    </row>
    <row r="164" spans="2:8" s="56" customFormat="1" ht="43.9" customHeight="1" x14ac:dyDescent="0.25">
      <c r="B164" s="158" t="s">
        <v>175</v>
      </c>
      <c r="C164" s="158"/>
      <c r="D164" s="158"/>
      <c r="E164" s="57" t="s">
        <v>176</v>
      </c>
      <c r="F164" s="63">
        <f>F166+F168+F180</f>
        <v>38994.75</v>
      </c>
      <c r="G164" s="108">
        <f>G165</f>
        <v>27902.289999999997</v>
      </c>
      <c r="H164" s="78">
        <f t="shared" si="2"/>
        <v>71.553965597933043</v>
      </c>
    </row>
    <row r="165" spans="2:8" s="56" customFormat="1" ht="18" customHeight="1" x14ac:dyDescent="0.25">
      <c r="B165" s="166">
        <v>11</v>
      </c>
      <c r="C165" s="167"/>
      <c r="D165" s="168"/>
      <c r="E165" s="74" t="s">
        <v>140</v>
      </c>
      <c r="F165" s="63">
        <f>F166+F168+F180</f>
        <v>38994.75</v>
      </c>
      <c r="G165" s="93">
        <f>G166+G168+G180</f>
        <v>27902.289999999997</v>
      </c>
      <c r="H165" s="78">
        <f t="shared" si="2"/>
        <v>71.553965597933043</v>
      </c>
    </row>
    <row r="166" spans="2:8" ht="18" customHeight="1" x14ac:dyDescent="0.25">
      <c r="B166" s="159">
        <v>31</v>
      </c>
      <c r="C166" s="160"/>
      <c r="D166" s="161"/>
      <c r="E166" s="57" t="s">
        <v>5</v>
      </c>
      <c r="F166" s="63">
        <f>SUM(F167:F167)</f>
        <v>105</v>
      </c>
      <c r="G166" s="93">
        <f>G167</f>
        <v>104.84</v>
      </c>
      <c r="H166" s="78">
        <f t="shared" si="2"/>
        <v>99.847619047619048</v>
      </c>
    </row>
    <row r="167" spans="2:8" ht="18" customHeight="1" x14ac:dyDescent="0.25">
      <c r="B167" s="162">
        <v>3113</v>
      </c>
      <c r="C167" s="162"/>
      <c r="D167" s="162"/>
      <c r="E167" s="47" t="s">
        <v>199</v>
      </c>
      <c r="F167" s="62">
        <v>105</v>
      </c>
      <c r="G167" s="91">
        <v>104.84</v>
      </c>
      <c r="H167" s="80">
        <f t="shared" si="2"/>
        <v>99.847619047619048</v>
      </c>
    </row>
    <row r="168" spans="2:8" ht="18" customHeight="1" x14ac:dyDescent="0.25">
      <c r="B168" s="159">
        <v>32</v>
      </c>
      <c r="C168" s="160"/>
      <c r="D168" s="161"/>
      <c r="E168" s="57" t="s">
        <v>13</v>
      </c>
      <c r="F168" s="63">
        <f>SUM(F170:F179)</f>
        <v>38621.31</v>
      </c>
      <c r="G168" s="93">
        <f>SUM(G169:G179)</f>
        <v>27629.01</v>
      </c>
      <c r="H168" s="78">
        <f t="shared" si="2"/>
        <v>71.538251809687452</v>
      </c>
    </row>
    <row r="169" spans="2:8" ht="18" customHeight="1" x14ac:dyDescent="0.25">
      <c r="B169" s="162">
        <v>3211</v>
      </c>
      <c r="C169" s="162"/>
      <c r="D169" s="162"/>
      <c r="E169" s="47" t="s">
        <v>44</v>
      </c>
      <c r="F169" s="62"/>
      <c r="G169" s="91">
        <v>222.66</v>
      </c>
      <c r="H169" s="80" t="s">
        <v>117</v>
      </c>
    </row>
    <row r="170" spans="2:8" ht="18" customHeight="1" x14ac:dyDescent="0.25">
      <c r="B170" s="162">
        <v>3221</v>
      </c>
      <c r="C170" s="162"/>
      <c r="D170" s="162"/>
      <c r="E170" s="47" t="s">
        <v>89</v>
      </c>
      <c r="F170" s="62">
        <f>712.09+820.82-165</f>
        <v>1367.91</v>
      </c>
      <c r="G170" s="91">
        <f>726.15+94.67+24.55+707.54</f>
        <v>1552.9099999999999</v>
      </c>
      <c r="H170" s="80">
        <f t="shared" si="2"/>
        <v>113.5242815682318</v>
      </c>
    </row>
    <row r="171" spans="2:8" ht="18" customHeight="1" x14ac:dyDescent="0.25">
      <c r="B171" s="162">
        <v>3222</v>
      </c>
      <c r="C171" s="162"/>
      <c r="D171" s="162"/>
      <c r="E171" s="47" t="s">
        <v>90</v>
      </c>
      <c r="F171" s="62"/>
      <c r="G171" s="91">
        <f>436.26+99.59+848.24+4047.94-3918.04</f>
        <v>1513.9900000000007</v>
      </c>
      <c r="H171" s="80" t="s">
        <v>117</v>
      </c>
    </row>
    <row r="172" spans="2:8" ht="18" customHeight="1" x14ac:dyDescent="0.25">
      <c r="B172" s="162">
        <v>3223</v>
      </c>
      <c r="C172" s="162"/>
      <c r="D172" s="162"/>
      <c r="E172" s="47" t="s">
        <v>91</v>
      </c>
      <c r="F172" s="62">
        <f>6613.08+12736.91+550.02</f>
        <v>19900.009999999998</v>
      </c>
      <c r="G172" s="91">
        <f>550.02+6336.91+3813.08</f>
        <v>10700.01</v>
      </c>
      <c r="H172" s="80">
        <f t="shared" si="2"/>
        <v>53.768867452830428</v>
      </c>
    </row>
    <row r="173" spans="2:8" ht="30" customHeight="1" x14ac:dyDescent="0.25">
      <c r="B173" s="163">
        <v>3224</v>
      </c>
      <c r="C173" s="164"/>
      <c r="D173" s="165"/>
      <c r="E173" s="47" t="s">
        <v>92</v>
      </c>
      <c r="F173" s="62">
        <f>1628.98</f>
        <v>1628.98</v>
      </c>
      <c r="G173" s="91">
        <f>1273.48+255.5</f>
        <v>1528.98</v>
      </c>
      <c r="H173" s="80">
        <f t="shared" si="2"/>
        <v>93.861189210426161</v>
      </c>
    </row>
    <row r="174" spans="2:8" ht="18" customHeight="1" x14ac:dyDescent="0.25">
      <c r="B174" s="163">
        <v>3225</v>
      </c>
      <c r="C174" s="164"/>
      <c r="D174" s="165"/>
      <c r="E174" s="47" t="s">
        <v>93</v>
      </c>
      <c r="F174" s="62">
        <v>579.4</v>
      </c>
      <c r="G174" s="91">
        <v>579.4</v>
      </c>
      <c r="H174" s="80">
        <f t="shared" si="2"/>
        <v>100</v>
      </c>
    </row>
    <row r="175" spans="2:8" ht="18" customHeight="1" x14ac:dyDescent="0.25">
      <c r="B175" s="163">
        <v>3231</v>
      </c>
      <c r="C175" s="164"/>
      <c r="D175" s="165"/>
      <c r="E175" s="47" t="s">
        <v>95</v>
      </c>
      <c r="F175" s="62">
        <f>341.89+379.32</f>
        <v>721.21</v>
      </c>
      <c r="G175" s="91">
        <f>254.56+231.89</f>
        <v>486.45</v>
      </c>
      <c r="H175" s="80">
        <f t="shared" si="2"/>
        <v>67.449147959678868</v>
      </c>
    </row>
    <row r="176" spans="2:8" ht="18" customHeight="1" x14ac:dyDescent="0.25">
      <c r="B176" s="163">
        <v>3232</v>
      </c>
      <c r="C176" s="164"/>
      <c r="D176" s="165"/>
      <c r="E176" s="47" t="s">
        <v>96</v>
      </c>
      <c r="F176" s="62">
        <v>2164.6799999999998</v>
      </c>
      <c r="G176" s="91">
        <v>2164.6799999999998</v>
      </c>
      <c r="H176" s="80">
        <f t="shared" si="2"/>
        <v>100</v>
      </c>
    </row>
    <row r="177" spans="2:8" ht="18" customHeight="1" x14ac:dyDescent="0.25">
      <c r="B177" s="163">
        <v>3234</v>
      </c>
      <c r="C177" s="164"/>
      <c r="D177" s="165"/>
      <c r="E177" s="47" t="s">
        <v>98</v>
      </c>
      <c r="F177" s="62">
        <v>1705.32</v>
      </c>
      <c r="G177" s="91">
        <f>340+87.15+403.57+234.6</f>
        <v>1065.32</v>
      </c>
      <c r="H177" s="80">
        <f t="shared" si="2"/>
        <v>62.470386789576146</v>
      </c>
    </row>
    <row r="178" spans="2:8" ht="18" customHeight="1" x14ac:dyDescent="0.25">
      <c r="B178" s="163">
        <v>3235</v>
      </c>
      <c r="C178" s="164"/>
      <c r="D178" s="165"/>
      <c r="E178" s="47" t="s">
        <v>161</v>
      </c>
      <c r="F178" s="62">
        <v>8619.15</v>
      </c>
      <c r="G178" s="91">
        <f>5547.82+297.42</f>
        <v>5845.24</v>
      </c>
      <c r="H178" s="80">
        <f t="shared" si="2"/>
        <v>67.816896097643038</v>
      </c>
    </row>
    <row r="179" spans="2:8" ht="18" customHeight="1" x14ac:dyDescent="0.25">
      <c r="B179" s="163">
        <v>3238</v>
      </c>
      <c r="C179" s="164"/>
      <c r="D179" s="165"/>
      <c r="E179" s="47" t="s">
        <v>100</v>
      </c>
      <c r="F179" s="62">
        <v>1934.65</v>
      </c>
      <c r="G179" s="91">
        <v>1969.37</v>
      </c>
      <c r="H179" s="80">
        <f t="shared" si="2"/>
        <v>101.79463985733852</v>
      </c>
    </row>
    <row r="180" spans="2:8" ht="18" customHeight="1" x14ac:dyDescent="0.25">
      <c r="B180" s="159">
        <v>34</v>
      </c>
      <c r="C180" s="160"/>
      <c r="D180" s="161"/>
      <c r="E180" s="57" t="s">
        <v>108</v>
      </c>
      <c r="F180" s="63">
        <f>F181</f>
        <v>268.44</v>
      </c>
      <c r="G180" s="108">
        <f>G181</f>
        <v>168.44</v>
      </c>
      <c r="H180" s="78">
        <f t="shared" si="2"/>
        <v>62.747727611384299</v>
      </c>
    </row>
    <row r="181" spans="2:8" ht="18" customHeight="1" x14ac:dyDescent="0.25">
      <c r="B181" s="163">
        <v>3431</v>
      </c>
      <c r="C181" s="164"/>
      <c r="D181" s="165"/>
      <c r="E181" s="47" t="s">
        <v>110</v>
      </c>
      <c r="F181" s="62">
        <v>268.44</v>
      </c>
      <c r="G181" s="91">
        <f>165.54+2.9</f>
        <v>168.44</v>
      </c>
      <c r="H181" s="80">
        <f t="shared" si="2"/>
        <v>62.747727611384299</v>
      </c>
    </row>
    <row r="182" spans="2:8" s="56" customFormat="1" ht="43.9" customHeight="1" x14ac:dyDescent="0.25">
      <c r="B182" s="158" t="s">
        <v>236</v>
      </c>
      <c r="C182" s="158"/>
      <c r="D182" s="158"/>
      <c r="E182" s="57" t="s">
        <v>179</v>
      </c>
      <c r="F182" s="63">
        <f>F183</f>
        <v>965</v>
      </c>
      <c r="G182" s="108">
        <f>G183+G190</f>
        <v>1229.3800000000001</v>
      </c>
      <c r="H182" s="78">
        <f t="shared" si="2"/>
        <v>127.39689119170986</v>
      </c>
    </row>
    <row r="183" spans="2:8" s="56" customFormat="1" ht="18" customHeight="1" x14ac:dyDescent="0.25">
      <c r="B183" s="166">
        <v>11</v>
      </c>
      <c r="C183" s="167"/>
      <c r="D183" s="168"/>
      <c r="E183" s="57" t="s">
        <v>140</v>
      </c>
      <c r="F183" s="63">
        <f>F184+F186</f>
        <v>965</v>
      </c>
      <c r="G183" s="93">
        <f>G184+G186</f>
        <v>649.61</v>
      </c>
      <c r="H183" s="78">
        <f t="shared" si="2"/>
        <v>67.31709844559586</v>
      </c>
    </row>
    <row r="184" spans="2:8" ht="18" customHeight="1" x14ac:dyDescent="0.25">
      <c r="B184" s="159">
        <v>31</v>
      </c>
      <c r="C184" s="160"/>
      <c r="D184" s="161"/>
      <c r="E184" s="57" t="s">
        <v>5</v>
      </c>
      <c r="F184" s="63">
        <f>SUM(F185:F185)</f>
        <v>300</v>
      </c>
      <c r="G184" s="93">
        <f>G185</f>
        <v>278.66000000000003</v>
      </c>
      <c r="H184" s="78">
        <f t="shared" si="2"/>
        <v>92.88666666666667</v>
      </c>
    </row>
    <row r="185" spans="2:8" ht="18" customHeight="1" x14ac:dyDescent="0.25">
      <c r="B185" s="163">
        <v>3111</v>
      </c>
      <c r="C185" s="164"/>
      <c r="D185" s="165"/>
      <c r="E185" s="47" t="s">
        <v>42</v>
      </c>
      <c r="F185" s="62">
        <v>300</v>
      </c>
      <c r="G185" s="91">
        <v>278.66000000000003</v>
      </c>
      <c r="H185" s="80">
        <f t="shared" si="2"/>
        <v>92.88666666666667</v>
      </c>
    </row>
    <row r="186" spans="2:8" ht="18" customHeight="1" x14ac:dyDescent="0.25">
      <c r="B186" s="159">
        <v>32</v>
      </c>
      <c r="C186" s="160"/>
      <c r="D186" s="161"/>
      <c r="E186" s="76" t="s">
        <v>13</v>
      </c>
      <c r="F186" s="63">
        <f>SUM(F187:F189)</f>
        <v>665</v>
      </c>
      <c r="G186" s="93">
        <f>G187+G188+G189</f>
        <v>370.95</v>
      </c>
      <c r="H186" s="78">
        <f t="shared" ref="H186:H189" si="4">G186/F186*100</f>
        <v>55.781954887218042</v>
      </c>
    </row>
    <row r="187" spans="2:8" ht="18" customHeight="1" x14ac:dyDescent="0.25">
      <c r="B187" s="162">
        <v>3211</v>
      </c>
      <c r="C187" s="162"/>
      <c r="D187" s="162"/>
      <c r="E187" s="47" t="s">
        <v>44</v>
      </c>
      <c r="F187" s="62">
        <v>300</v>
      </c>
      <c r="G187" s="91">
        <v>370.95</v>
      </c>
      <c r="H187" s="80">
        <f t="shared" si="4"/>
        <v>123.64999999999999</v>
      </c>
    </row>
    <row r="188" spans="2:8" ht="18" customHeight="1" x14ac:dyDescent="0.25">
      <c r="B188" s="162">
        <v>3221</v>
      </c>
      <c r="C188" s="162"/>
      <c r="D188" s="162"/>
      <c r="E188" s="47" t="s">
        <v>89</v>
      </c>
      <c r="F188" s="62">
        <v>165</v>
      </c>
      <c r="G188" s="91">
        <v>0</v>
      </c>
      <c r="H188" s="80">
        <f t="shared" si="4"/>
        <v>0</v>
      </c>
    </row>
    <row r="189" spans="2:8" ht="18" customHeight="1" x14ac:dyDescent="0.25">
      <c r="B189" s="163">
        <v>3299</v>
      </c>
      <c r="C189" s="164"/>
      <c r="D189" s="165"/>
      <c r="E189" s="47" t="s">
        <v>105</v>
      </c>
      <c r="F189" s="62">
        <v>200</v>
      </c>
      <c r="G189" s="91">
        <v>0</v>
      </c>
      <c r="H189" s="80">
        <f t="shared" si="4"/>
        <v>0</v>
      </c>
    </row>
    <row r="190" spans="2:8" s="56" customFormat="1" ht="18" customHeight="1" x14ac:dyDescent="0.25">
      <c r="B190" s="166">
        <v>91</v>
      </c>
      <c r="C190" s="167"/>
      <c r="D190" s="168"/>
      <c r="E190" s="77" t="s">
        <v>242</v>
      </c>
      <c r="F190" s="63">
        <f>F195+F197</f>
        <v>0</v>
      </c>
      <c r="G190" s="93">
        <f>G191</f>
        <v>579.77</v>
      </c>
      <c r="H190" s="78" t="s">
        <v>117</v>
      </c>
    </row>
    <row r="191" spans="2:8" ht="18" customHeight="1" x14ac:dyDescent="0.25">
      <c r="B191" s="159">
        <v>32</v>
      </c>
      <c r="C191" s="160"/>
      <c r="D191" s="161"/>
      <c r="E191" s="77" t="s">
        <v>13</v>
      </c>
      <c r="F191" s="63">
        <f>SUM(F192:F194)</f>
        <v>0</v>
      </c>
      <c r="G191" s="93">
        <f>G192+G193+G194</f>
        <v>579.77</v>
      </c>
      <c r="H191" s="78" t="s">
        <v>117</v>
      </c>
    </row>
    <row r="192" spans="2:8" ht="18" customHeight="1" x14ac:dyDescent="0.25">
      <c r="B192" s="162">
        <v>3211</v>
      </c>
      <c r="C192" s="162"/>
      <c r="D192" s="162"/>
      <c r="E192" s="47" t="s">
        <v>44</v>
      </c>
      <c r="F192" s="62">
        <v>0</v>
      </c>
      <c r="G192" s="91"/>
      <c r="H192" s="80" t="s">
        <v>117</v>
      </c>
    </row>
    <row r="193" spans="2:8" ht="18" customHeight="1" x14ac:dyDescent="0.25">
      <c r="B193" s="162">
        <v>3221</v>
      </c>
      <c r="C193" s="162"/>
      <c r="D193" s="162"/>
      <c r="E193" s="47" t="s">
        <v>89</v>
      </c>
      <c r="F193" s="62">
        <v>0</v>
      </c>
      <c r="G193" s="91">
        <f>18.75+163.32+168.27</f>
        <v>350.34000000000003</v>
      </c>
      <c r="H193" s="80" t="s">
        <v>117</v>
      </c>
    </row>
    <row r="194" spans="2:8" ht="18" customHeight="1" x14ac:dyDescent="0.25">
      <c r="B194" s="163">
        <v>3299</v>
      </c>
      <c r="C194" s="164"/>
      <c r="D194" s="165"/>
      <c r="E194" s="47" t="s">
        <v>105</v>
      </c>
      <c r="F194" s="62">
        <v>0</v>
      </c>
      <c r="G194" s="91">
        <f>200+29.43</f>
        <v>229.43</v>
      </c>
      <c r="H194" s="80" t="s">
        <v>117</v>
      </c>
    </row>
    <row r="195" spans="2:8" x14ac:dyDescent="0.25">
      <c r="B195" s="46"/>
      <c r="C195" s="46"/>
      <c r="D195" s="46"/>
      <c r="E195" s="46"/>
      <c r="F195" s="46"/>
      <c r="G195" s="46"/>
      <c r="H195" s="46"/>
    </row>
  </sheetData>
  <mergeCells count="191">
    <mergeCell ref="B193:D193"/>
    <mergeCell ref="B194:D194"/>
    <mergeCell ref="B169:D169"/>
    <mergeCell ref="B184:D184"/>
    <mergeCell ref="B168:D168"/>
    <mergeCell ref="B170:D170"/>
    <mergeCell ref="B186:D186"/>
    <mergeCell ref="B187:D187"/>
    <mergeCell ref="B188:D188"/>
    <mergeCell ref="B189:D189"/>
    <mergeCell ref="B172:D172"/>
    <mergeCell ref="B173:D173"/>
    <mergeCell ref="B174:D174"/>
    <mergeCell ref="B176:D176"/>
    <mergeCell ref="B178:D178"/>
    <mergeCell ref="B179:D179"/>
    <mergeCell ref="B171:D171"/>
    <mergeCell ref="B183:D183"/>
    <mergeCell ref="B175:D175"/>
    <mergeCell ref="B177:D177"/>
    <mergeCell ref="B73:D73"/>
    <mergeCell ref="B74:D74"/>
    <mergeCell ref="B33:D33"/>
    <mergeCell ref="B38:D38"/>
    <mergeCell ref="B39:D39"/>
    <mergeCell ref="B185:D185"/>
    <mergeCell ref="B190:D190"/>
    <mergeCell ref="B191:D191"/>
    <mergeCell ref="B192:D192"/>
    <mergeCell ref="B57:D57"/>
    <mergeCell ref="B56:D56"/>
    <mergeCell ref="B58:D58"/>
    <mergeCell ref="B59:D59"/>
    <mergeCell ref="B55:D55"/>
    <mergeCell ref="B180:D180"/>
    <mergeCell ref="B181:D181"/>
    <mergeCell ref="B182:D182"/>
    <mergeCell ref="B68:D68"/>
    <mergeCell ref="B72:D72"/>
    <mergeCell ref="B34:D34"/>
    <mergeCell ref="B35:D35"/>
    <mergeCell ref="B36:D36"/>
    <mergeCell ref="B60:D60"/>
    <mergeCell ref="B61:D61"/>
    <mergeCell ref="B6:E6"/>
    <mergeCell ref="B7:E7"/>
    <mergeCell ref="B15:D15"/>
    <mergeCell ref="B8:D8"/>
    <mergeCell ref="B12:D12"/>
    <mergeCell ref="B13:D13"/>
    <mergeCell ref="B10:D10"/>
    <mergeCell ref="B95:D95"/>
    <mergeCell ref="B96:D96"/>
    <mergeCell ref="B93:D93"/>
    <mergeCell ref="B94:D94"/>
    <mergeCell ref="B88:D88"/>
    <mergeCell ref="B89:D89"/>
    <mergeCell ref="B90:D90"/>
    <mergeCell ref="B91:D91"/>
    <mergeCell ref="B77:D77"/>
    <mergeCell ref="B64:D64"/>
    <mergeCell ref="B71:D71"/>
    <mergeCell ref="B63:D63"/>
    <mergeCell ref="B65:D65"/>
    <mergeCell ref="B66:D66"/>
    <mergeCell ref="B69:D69"/>
    <mergeCell ref="B70:D70"/>
    <mergeCell ref="B67:D67"/>
    <mergeCell ref="B62:D62"/>
    <mergeCell ref="B2:H2"/>
    <mergeCell ref="B4:H4"/>
    <mergeCell ref="B9:E9"/>
    <mergeCell ref="B11:D11"/>
    <mergeCell ref="B14:D14"/>
    <mergeCell ref="B20:D20"/>
    <mergeCell ref="B28:D28"/>
    <mergeCell ref="B29:D29"/>
    <mergeCell ref="B30:D30"/>
    <mergeCell ref="B25:D25"/>
    <mergeCell ref="B26:D26"/>
    <mergeCell ref="B27:D27"/>
    <mergeCell ref="B31:D31"/>
    <mergeCell ref="B32:D32"/>
    <mergeCell ref="B19:D19"/>
    <mergeCell ref="B16:D16"/>
    <mergeCell ref="B24:D24"/>
    <mergeCell ref="B21:D21"/>
    <mergeCell ref="B22:D22"/>
    <mergeCell ref="B23:D23"/>
    <mergeCell ref="B17:D17"/>
    <mergeCell ref="B18:D18"/>
    <mergeCell ref="B41:D41"/>
    <mergeCell ref="B40:D40"/>
    <mergeCell ref="B42:D42"/>
    <mergeCell ref="B43:D43"/>
    <mergeCell ref="B37:D37"/>
    <mergeCell ref="B44:D44"/>
    <mergeCell ref="B47:D47"/>
    <mergeCell ref="B48:D48"/>
    <mergeCell ref="B49:D49"/>
    <mergeCell ref="B50:D50"/>
    <mergeCell ref="B51:D51"/>
    <mergeCell ref="B52:D52"/>
    <mergeCell ref="B53:D53"/>
    <mergeCell ref="B54:D54"/>
    <mergeCell ref="B45:D45"/>
    <mergeCell ref="B46:D46"/>
    <mergeCell ref="B87:D87"/>
    <mergeCell ref="B106:D106"/>
    <mergeCell ref="B101:D101"/>
    <mergeCell ref="B102:D102"/>
    <mergeCell ref="B103:D103"/>
    <mergeCell ref="B98:D98"/>
    <mergeCell ref="B100:D100"/>
    <mergeCell ref="B75:D75"/>
    <mergeCell ref="B84:D84"/>
    <mergeCell ref="B85:D85"/>
    <mergeCell ref="B86:D86"/>
    <mergeCell ref="B99:D99"/>
    <mergeCell ref="B76:D76"/>
    <mergeCell ref="B79:D79"/>
    <mergeCell ref="B80:D80"/>
    <mergeCell ref="B81:D81"/>
    <mergeCell ref="B82:D82"/>
    <mergeCell ref="B83:D83"/>
    <mergeCell ref="B92:D92"/>
    <mergeCell ref="B97:D97"/>
    <mergeCell ref="B78:D78"/>
    <mergeCell ref="B113:D113"/>
    <mergeCell ref="B118:D118"/>
    <mergeCell ref="B110:D110"/>
    <mergeCell ref="B111:D111"/>
    <mergeCell ref="B112:D112"/>
    <mergeCell ref="B114:D114"/>
    <mergeCell ref="B116:D116"/>
    <mergeCell ref="B104:D104"/>
    <mergeCell ref="B105:D105"/>
    <mergeCell ref="B107:D107"/>
    <mergeCell ref="B108:D108"/>
    <mergeCell ref="B109:D109"/>
    <mergeCell ref="B123:D123"/>
    <mergeCell ref="B124:D124"/>
    <mergeCell ref="B125:D125"/>
    <mergeCell ref="B128:D128"/>
    <mergeCell ref="B129:D129"/>
    <mergeCell ref="B120:D120"/>
    <mergeCell ref="B121:D121"/>
    <mergeCell ref="B122:D122"/>
    <mergeCell ref="B115:D115"/>
    <mergeCell ref="B117:D117"/>
    <mergeCell ref="B126:D126"/>
    <mergeCell ref="B127:D127"/>
    <mergeCell ref="B119:D119"/>
    <mergeCell ref="B150:D150"/>
    <mergeCell ref="B149:D149"/>
    <mergeCell ref="B152:D152"/>
    <mergeCell ref="B153:D153"/>
    <mergeCell ref="B138:D138"/>
    <mergeCell ref="B156:D156"/>
    <mergeCell ref="B130:D130"/>
    <mergeCell ref="B136:D136"/>
    <mergeCell ref="B148:D148"/>
    <mergeCell ref="B137:D137"/>
    <mergeCell ref="B131:D131"/>
    <mergeCell ref="B132:D132"/>
    <mergeCell ref="B133:D133"/>
    <mergeCell ref="B134:D134"/>
    <mergeCell ref="B135:D135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39:D139"/>
    <mergeCell ref="B164:D164"/>
    <mergeCell ref="B166:D166"/>
    <mergeCell ref="B167:D167"/>
    <mergeCell ref="B151:D151"/>
    <mergeCell ref="B154:D154"/>
    <mergeCell ref="B155:D155"/>
    <mergeCell ref="B157:D157"/>
    <mergeCell ref="B159:D159"/>
    <mergeCell ref="B158:D158"/>
    <mergeCell ref="B160:D160"/>
    <mergeCell ref="B161:D161"/>
    <mergeCell ref="B163:D163"/>
    <mergeCell ref="B162:D162"/>
    <mergeCell ref="B165:D165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SAŽETAK </vt:lpstr>
      <vt:lpstr>Račun prihoda i rashoda - škola</vt:lpstr>
      <vt:lpstr>Račun prihoda i rashoda - dom</vt:lpstr>
      <vt:lpstr>Rashodi prema izvorima fin.-šk</vt:lpstr>
      <vt:lpstr>Rashodi prema izvorima fin.-dom</vt:lpstr>
      <vt:lpstr>Rashodi prema funkcijskoj k </vt:lpstr>
      <vt:lpstr>Račun financiranja</vt:lpstr>
      <vt:lpstr>Račun fin prema izvorima f</vt:lpstr>
      <vt:lpstr>POSEBNI DIO-škola</vt:lpstr>
      <vt:lpstr>POSEBNI DIO-dom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2024-03-28T10:15:34Z</cp:lastPrinted>
  <dcterms:created xsi:type="dcterms:W3CDTF">2022-08-12T12:51:27Z</dcterms:created>
  <dcterms:modified xsi:type="dcterms:W3CDTF">2024-03-28T12:55:52Z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